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G:\Meu Drive\COMERCIAL\VIPPIM VIGILÂNCIA\CONTRATOS\1. PUBLICOS\VIGILÂNCIA\11º CJM CT 11.2020\REPACTUAÇÃO\2024\"/>
    </mc:Choice>
  </mc:AlternateContent>
  <xr:revisionPtr revIDLastSave="0" documentId="13_ncr:1_{2B103EA7-39EF-42A2-B35C-33929FF57B7D}" xr6:coauthVersionLast="47" xr6:coauthVersionMax="47" xr10:uidLastSave="{00000000-0000-0000-0000-000000000000}"/>
  <bookViews>
    <workbookView xWindow="-120" yWindow="-120" windowWidth="20730" windowHeight="11160" tabRatio="772" firstSheet="3" activeTab="3" xr2:uid="{00000000-000D-0000-FFFF-FFFF00000000}"/>
  </bookViews>
  <sheets>
    <sheet name="Proposta Cadastro" sheetId="76" state="hidden" r:id="rId1"/>
    <sheet name="Conta vinculada CJM" sheetId="87" state="hidden" r:id="rId2"/>
    <sheet name="Proposta" sheetId="72" state="hidden" r:id="rId3"/>
    <sheet name="Diferença" sheetId="89" r:id="rId4"/>
    <sheet name="Anexo VIII" sheetId="84" r:id="rId5"/>
    <sheet name="44hs D" sheetId="65" state="hidden" r:id="rId6"/>
    <sheet name="12x36 DA" sheetId="52" r:id="rId7"/>
    <sheet name="12X36 NA" sheetId="53" r:id="rId8"/>
    <sheet name="44HS DA" sheetId="78" r:id="rId9"/>
    <sheet name="44HS DD" sheetId="79" r:id="rId10"/>
    <sheet name="3.Resumo" sheetId="85" state="hidden" r:id="rId11"/>
    <sheet name="4.Quadro" sheetId="86" state="hidden" r:id="rId12"/>
    <sheet name="Uniformes -IV" sheetId="70" state="hidden" r:id="rId13"/>
    <sheet name="Equipamentos-IV" sheetId="37" state="hidden" r:id="rId14"/>
    <sheet name="Anexo VI" sheetId="81" state="hidden" r:id="rId15"/>
    <sheet name="Memória de Cálculo" sheetId="83" state="hidden" r:id="rId16"/>
    <sheet name="ES Metodologia" sheetId="74" state="hidden" r:id="rId17"/>
    <sheet name="FATURA" sheetId="88" state="hidden" r:id="rId18"/>
  </sheets>
  <definedNames>
    <definedName name="_1Sem_nome" localSheetId="6">#REF!</definedName>
    <definedName name="_1Sem_nome" localSheetId="7">#REF!</definedName>
    <definedName name="_1Sem_nome" localSheetId="10">#REF!</definedName>
    <definedName name="_1Sem_nome" localSheetId="11">#REF!</definedName>
    <definedName name="_1Sem_nome" localSheetId="5">#REF!</definedName>
    <definedName name="_1Sem_nome" localSheetId="8">#REF!</definedName>
    <definedName name="_1Sem_nome" localSheetId="9">#REF!</definedName>
    <definedName name="_1Sem_nome" localSheetId="1">#REF!</definedName>
    <definedName name="_1Sem_nome" localSheetId="16">#REF!</definedName>
    <definedName name="_1Sem_nome" localSheetId="2">#REF!</definedName>
    <definedName name="_1Sem_nome" localSheetId="0">#REF!</definedName>
    <definedName name="_1Sem_nome" localSheetId="12">#REF!</definedName>
    <definedName name="_1Sem_nome">#REF!</definedName>
    <definedName name="_xlnm._FilterDatabase" localSheetId="1" hidden="1">'Conta vinculada CJM'!$B$5:$AA$38</definedName>
    <definedName name="_P1" localSheetId="6">#REF!</definedName>
    <definedName name="_P1" localSheetId="7">#REF!</definedName>
    <definedName name="_P1" localSheetId="10">#REF!</definedName>
    <definedName name="_P1" localSheetId="11">#REF!</definedName>
    <definedName name="_P1" localSheetId="5">#REF!</definedName>
    <definedName name="_P1" localSheetId="8">#REF!</definedName>
    <definedName name="_P1" localSheetId="9">#REF!</definedName>
    <definedName name="_P1" localSheetId="1">#REF!</definedName>
    <definedName name="_P1" localSheetId="16">#REF!</definedName>
    <definedName name="_P1" localSheetId="2">#REF!</definedName>
    <definedName name="_P1" localSheetId="0">#REF!</definedName>
    <definedName name="_P1" localSheetId="12">#REF!</definedName>
    <definedName name="_P1">#REF!</definedName>
    <definedName name="_P2" localSheetId="6">#REF!</definedName>
    <definedName name="_P2" localSheetId="7">#REF!</definedName>
    <definedName name="_P2" localSheetId="10">#REF!</definedName>
    <definedName name="_P2" localSheetId="11">#REF!</definedName>
    <definedName name="_P2" localSheetId="5">#REF!</definedName>
    <definedName name="_P2" localSheetId="8">#REF!</definedName>
    <definedName name="_P2" localSheetId="9">#REF!</definedName>
    <definedName name="_P2" localSheetId="1">#REF!</definedName>
    <definedName name="_P2" localSheetId="16">#REF!</definedName>
    <definedName name="_P2" localSheetId="2">#REF!</definedName>
    <definedName name="_P2" localSheetId="0">#REF!</definedName>
    <definedName name="_P2" localSheetId="12">#REF!</definedName>
    <definedName name="_P2">#REF!</definedName>
    <definedName name="_p3" localSheetId="6">#REF!</definedName>
    <definedName name="_p3" localSheetId="7">#REF!</definedName>
    <definedName name="_p3" localSheetId="10">#REF!</definedName>
    <definedName name="_p3" localSheetId="11">#REF!</definedName>
    <definedName name="_p3" localSheetId="5">#REF!</definedName>
    <definedName name="_p3" localSheetId="8">#REF!</definedName>
    <definedName name="_p3" localSheetId="9">#REF!</definedName>
    <definedName name="_p3" localSheetId="1">#REF!</definedName>
    <definedName name="_p3" localSheetId="16">#REF!</definedName>
    <definedName name="_p3" localSheetId="2">#REF!</definedName>
    <definedName name="_p3" localSheetId="0">#REF!</definedName>
    <definedName name="_p3" localSheetId="12">#REF!</definedName>
    <definedName name="_p3">#REF!</definedName>
    <definedName name="_xlnm.Print_Area" localSheetId="6">'12x36 DA'!$A$1:$D$132</definedName>
    <definedName name="_xlnm.Print_Area" localSheetId="7">'12X36 NA'!$A$1:$D$133</definedName>
    <definedName name="_xlnm.Print_Area" localSheetId="8">'44HS DA'!$A$1:$D$133</definedName>
    <definedName name="_xlnm.Print_Area" localSheetId="9">'44HS DD'!$A$1:$D$133</definedName>
    <definedName name="_xlnm.Print_Area" localSheetId="1">'Conta vinculada CJM'!$A$1:$AB$45</definedName>
    <definedName name="_xlnm.Print_Area" localSheetId="15">'Memória de Cálculo'!$A$1:$Q$177</definedName>
    <definedName name="_xlnm.Print_Area" localSheetId="2">Proposta!$A$1:$J$60</definedName>
    <definedName name="_xlnm.Print_Area" localSheetId="0">'Proposta Cadastro'!$A$1:$J$50</definedName>
    <definedName name="BuiltIn_Print_Area" localSheetId="6">#REF!</definedName>
    <definedName name="BuiltIn_Print_Area" localSheetId="7">#REF!</definedName>
    <definedName name="BuiltIn_Print_Area" localSheetId="10">#REF!</definedName>
    <definedName name="BuiltIn_Print_Area" localSheetId="11">#REF!</definedName>
    <definedName name="BuiltIn_Print_Area" localSheetId="5">#REF!</definedName>
    <definedName name="BuiltIn_Print_Area" localSheetId="8">#REF!</definedName>
    <definedName name="BuiltIn_Print_Area" localSheetId="9">#REF!</definedName>
    <definedName name="BuiltIn_Print_Area" localSheetId="1">#REF!</definedName>
    <definedName name="BuiltIn_Print_Area" localSheetId="16">#REF!</definedName>
    <definedName name="BuiltIn_Print_Area" localSheetId="2">#REF!</definedName>
    <definedName name="BuiltIn_Print_Area" localSheetId="0">#REF!</definedName>
    <definedName name="BuiltIn_Print_Area" localSheetId="12">#REF!</definedName>
    <definedName name="BuiltIn_Print_Area">#REF!</definedName>
    <definedName name="BuiltIn_Print_Area___0" localSheetId="6">#REF!</definedName>
    <definedName name="BuiltIn_Print_Area___0" localSheetId="7">#REF!</definedName>
    <definedName name="BuiltIn_Print_Area___0" localSheetId="10">#REF!</definedName>
    <definedName name="BuiltIn_Print_Area___0" localSheetId="11">#REF!</definedName>
    <definedName name="BuiltIn_Print_Area___0" localSheetId="5">#REF!</definedName>
    <definedName name="BuiltIn_Print_Area___0" localSheetId="8">#REF!</definedName>
    <definedName name="BuiltIn_Print_Area___0" localSheetId="9">#REF!</definedName>
    <definedName name="BuiltIn_Print_Area___0" localSheetId="1">#REF!</definedName>
    <definedName name="BuiltIn_Print_Area___0" localSheetId="16">#REF!</definedName>
    <definedName name="BuiltIn_Print_Area___0" localSheetId="2">#REF!</definedName>
    <definedName name="BuiltIn_Print_Area___0" localSheetId="0">#REF!</definedName>
    <definedName name="BuiltIn_Print_Area___0" localSheetId="12">#REF!</definedName>
    <definedName name="BuiltIn_Print_Area___0">#REF!</definedName>
    <definedName name="CHEFE" localSheetId="6">#REF!</definedName>
    <definedName name="CHEFE" localSheetId="7">#REF!</definedName>
    <definedName name="CHEFE" localSheetId="10">#REF!</definedName>
    <definedName name="CHEFE" localSheetId="11">#REF!</definedName>
    <definedName name="CHEFE" localSheetId="5">#REF!</definedName>
    <definedName name="CHEFE" localSheetId="8">#REF!</definedName>
    <definedName name="CHEFE" localSheetId="9">#REF!</definedName>
    <definedName name="CHEFE" localSheetId="1">#REF!</definedName>
    <definedName name="CHEFE" localSheetId="16">#REF!</definedName>
    <definedName name="CHEFE" localSheetId="2">#REF!</definedName>
    <definedName name="CHEFE" localSheetId="0">#REF!</definedName>
    <definedName name="CHEFE" localSheetId="12">#REF!</definedName>
    <definedName name="CHEFE">#REF!</definedName>
    <definedName name="Excel_BuiltIn_Print_Area_1" localSheetId="10">#REF!</definedName>
    <definedName name="Excel_BuiltIn_Print_Area_1" localSheetId="11">#REF!</definedName>
    <definedName name="Excel_BuiltIn_Print_Area_1" localSheetId="8">#REF!</definedName>
    <definedName name="Excel_BuiltIn_Print_Area_1" localSheetId="9">#REF!</definedName>
    <definedName name="Excel_BuiltIn_Print_Area_1" localSheetId="1">#REF!</definedName>
    <definedName name="Excel_BuiltIn_Print_Area_1" localSheetId="16">#REF!</definedName>
    <definedName name="Excel_BuiltIn_Print_Area_1" localSheetId="2">#REF!</definedName>
    <definedName name="Excel_BuiltIn_Print_Area_1" localSheetId="0">#REF!</definedName>
    <definedName name="Excel_BuiltIn_Print_Area_1" localSheetId="12">#REF!</definedName>
    <definedName name="Excel_BuiltIn_Print_Area_1">#REF!</definedName>
    <definedName name="Excel_BuiltIn_Print_Area_2" localSheetId="10">#REF!</definedName>
    <definedName name="Excel_BuiltIn_Print_Area_2" localSheetId="11">#REF!</definedName>
    <definedName name="Excel_BuiltIn_Print_Area_2" localSheetId="8">#REF!</definedName>
    <definedName name="Excel_BuiltIn_Print_Area_2" localSheetId="9">#REF!</definedName>
    <definedName name="Excel_BuiltIn_Print_Area_2" localSheetId="1">#REF!</definedName>
    <definedName name="Excel_BuiltIn_Print_Area_2" localSheetId="16">#REF!</definedName>
    <definedName name="Excel_BuiltIn_Print_Area_2" localSheetId="2">#REF!</definedName>
    <definedName name="Excel_BuiltIn_Print_Area_2" localSheetId="0">#REF!</definedName>
    <definedName name="Excel_BuiltIn_Print_Area_2" localSheetId="12">#REF!</definedName>
    <definedName name="Excel_BuiltIn_Print_Area_2">#REF!</definedName>
    <definedName name="luciene" localSheetId="6">#REF!</definedName>
    <definedName name="luciene" localSheetId="7">#REF!</definedName>
    <definedName name="luciene" localSheetId="10">#REF!</definedName>
    <definedName name="luciene" localSheetId="11">#REF!</definedName>
    <definedName name="luciene" localSheetId="5">#REF!</definedName>
    <definedName name="luciene" localSheetId="8">#REF!</definedName>
    <definedName name="luciene" localSheetId="9">#REF!</definedName>
    <definedName name="luciene" localSheetId="1">#REF!</definedName>
    <definedName name="luciene" localSheetId="16">#REF!</definedName>
    <definedName name="luciene" localSheetId="2">#REF!</definedName>
    <definedName name="luciene" localSheetId="0">#REF!</definedName>
    <definedName name="luciene" localSheetId="12">#REF!</definedName>
    <definedName name="luciene">#REF!</definedName>
    <definedName name="Po" localSheetId="6">#REF!</definedName>
    <definedName name="Po" localSheetId="7">#REF!</definedName>
    <definedName name="Po" localSheetId="10">#REF!</definedName>
    <definedName name="Po" localSheetId="11">#REF!</definedName>
    <definedName name="Po" localSheetId="5">#REF!</definedName>
    <definedName name="Po" localSheetId="8">#REF!</definedName>
    <definedName name="Po" localSheetId="9">#REF!</definedName>
    <definedName name="Po" localSheetId="1">#REF!</definedName>
    <definedName name="Po" localSheetId="16">#REF!</definedName>
    <definedName name="Po" localSheetId="2">#REF!</definedName>
    <definedName name="Po" localSheetId="0">#REF!</definedName>
    <definedName name="Po" localSheetId="12">#REF!</definedName>
    <definedName name="Po">#REF!</definedName>
    <definedName name="ssss" localSheetId="6">#REF!</definedName>
    <definedName name="ssss" localSheetId="7">#REF!</definedName>
    <definedName name="ssss" localSheetId="10">#REF!</definedName>
    <definedName name="ssss" localSheetId="11">#REF!</definedName>
    <definedName name="ssss" localSheetId="5">#REF!</definedName>
    <definedName name="ssss" localSheetId="8">#REF!</definedName>
    <definedName name="ssss" localSheetId="9">#REF!</definedName>
    <definedName name="ssss" localSheetId="1">#REF!</definedName>
    <definedName name="ssss" localSheetId="16">#REF!</definedName>
    <definedName name="ssss" localSheetId="2">#REF!</definedName>
    <definedName name="ssss" localSheetId="0">#REF!</definedName>
    <definedName name="ssss" localSheetId="12">#REF!</definedName>
    <definedName name="ssss">#REF!</definedName>
    <definedName name="sssss" localSheetId="6">#REF!</definedName>
    <definedName name="sssss" localSheetId="7">#REF!</definedName>
    <definedName name="sssss" localSheetId="10">#REF!</definedName>
    <definedName name="sssss" localSheetId="11">#REF!</definedName>
    <definedName name="sssss" localSheetId="5">#REF!</definedName>
    <definedName name="sssss" localSheetId="8">#REF!</definedName>
    <definedName name="sssss" localSheetId="9">#REF!</definedName>
    <definedName name="sssss" localSheetId="1">#REF!</definedName>
    <definedName name="sssss" localSheetId="16">#REF!</definedName>
    <definedName name="sssss" localSheetId="2">#REF!</definedName>
    <definedName name="sssss" localSheetId="0">#REF!</definedName>
    <definedName name="sssss" localSheetId="12">#REF!</definedName>
    <definedName name="sssss">#REF!</definedName>
    <definedName name="To" localSheetId="6">#REF!</definedName>
    <definedName name="To" localSheetId="7">#REF!</definedName>
    <definedName name="To" localSheetId="10">#REF!</definedName>
    <definedName name="To" localSheetId="11">#REF!</definedName>
    <definedName name="To" localSheetId="5">#REF!</definedName>
    <definedName name="To" localSheetId="8">#REF!</definedName>
    <definedName name="To" localSheetId="9">#REF!</definedName>
    <definedName name="To" localSheetId="1">#REF!</definedName>
    <definedName name="To" localSheetId="16">#REF!</definedName>
    <definedName name="To" localSheetId="2">#REF!</definedName>
    <definedName name="To" localSheetId="0">#REF!</definedName>
    <definedName name="To" localSheetId="12">#REF!</definedName>
    <definedName name="To">#REF!</definedName>
    <definedName name="vvvv" localSheetId="6">#REF!</definedName>
    <definedName name="vvvv" localSheetId="7">#REF!</definedName>
    <definedName name="vvvv" localSheetId="10">#REF!</definedName>
    <definedName name="vvvv" localSheetId="11">#REF!</definedName>
    <definedName name="vvvv" localSheetId="5">#REF!</definedName>
    <definedName name="vvvv" localSheetId="8">#REF!</definedName>
    <definedName name="vvvv" localSheetId="9">#REF!</definedName>
    <definedName name="vvvv" localSheetId="1">#REF!</definedName>
    <definedName name="vvvv" localSheetId="16">#REF!</definedName>
    <definedName name="vvvv" localSheetId="2">#REF!</definedName>
    <definedName name="vvvv" localSheetId="0">#REF!</definedName>
    <definedName name="vvvv" localSheetId="12">#REF!</definedName>
    <definedName name="vvvv">#REF!</definedName>
  </definedNames>
  <calcPr calcId="191029" iterate="1" iterateDelta="1E-4"/>
</workbook>
</file>

<file path=xl/calcChain.xml><?xml version="1.0" encoding="utf-8"?>
<calcChain xmlns="http://schemas.openxmlformats.org/spreadsheetml/2006/main">
  <c r="D8" i="89" l="1"/>
  <c r="D7" i="89"/>
  <c r="D6" i="89"/>
  <c r="D5" i="89"/>
  <c r="D4" i="89"/>
  <c r="D3" i="89"/>
  <c r="D2" i="89"/>
  <c r="D26" i="79"/>
  <c r="F56" i="79" s="1"/>
  <c r="D56" i="79" s="1"/>
  <c r="D58" i="79"/>
  <c r="D57" i="79"/>
  <c r="D58" i="78"/>
  <c r="D57" i="78"/>
  <c r="E56" i="79"/>
  <c r="F55" i="79"/>
  <c r="C56" i="79" s="1"/>
  <c r="E55" i="79"/>
  <c r="C58" i="79"/>
  <c r="C57" i="79"/>
  <c r="C58" i="78"/>
  <c r="C57" i="78"/>
  <c r="E55" i="78"/>
  <c r="C56" i="78" s="1"/>
  <c r="F55" i="78"/>
  <c r="E56" i="78"/>
  <c r="D38" i="53" l="1"/>
  <c r="D29" i="53"/>
  <c r="D30" i="53"/>
  <c r="D107" i="53"/>
  <c r="D113" i="52"/>
  <c r="D112" i="52"/>
  <c r="D88" i="52"/>
  <c r="D87" i="52"/>
  <c r="D86" i="52"/>
  <c r="D85" i="52"/>
  <c r="D84" i="52"/>
  <c r="D79" i="52"/>
  <c r="D78" i="52"/>
  <c r="D77" i="52"/>
  <c r="D76" i="52"/>
  <c r="D75" i="52"/>
  <c r="D74" i="52"/>
  <c r="D52" i="52"/>
  <c r="D51" i="52"/>
  <c r="D50" i="52"/>
  <c r="D49" i="52"/>
  <c r="D48" i="52"/>
  <c r="D47" i="52"/>
  <c r="D46" i="52"/>
  <c r="D45" i="52"/>
  <c r="D39" i="52"/>
  <c r="D38" i="52"/>
  <c r="F16" i="84"/>
  <c r="C107" i="78"/>
  <c r="D107" i="78" s="1"/>
  <c r="D106" i="79"/>
  <c r="D105" i="79"/>
  <c r="D109" i="79" s="1"/>
  <c r="D128" i="79" s="1"/>
  <c r="C26" i="79"/>
  <c r="C20" i="79"/>
  <c r="D27" i="79" s="1"/>
  <c r="D20" i="79"/>
  <c r="D100" i="79"/>
  <c r="D95" i="79"/>
  <c r="D14" i="79"/>
  <c r="C80" i="78"/>
  <c r="F56" i="78"/>
  <c r="D106" i="78"/>
  <c r="D105" i="78"/>
  <c r="D99" i="78"/>
  <c r="D88" i="78"/>
  <c r="D87" i="78"/>
  <c r="D86" i="78"/>
  <c r="D85" i="78"/>
  <c r="D84" i="78"/>
  <c r="D79" i="78"/>
  <c r="D78" i="78"/>
  <c r="D77" i="78"/>
  <c r="D76" i="78"/>
  <c r="D75" i="78"/>
  <c r="D74" i="78"/>
  <c r="D52" i="78"/>
  <c r="D51" i="78"/>
  <c r="D50" i="78"/>
  <c r="D49" i="78"/>
  <c r="D48" i="78"/>
  <c r="D47" i="78"/>
  <c r="D46" i="78"/>
  <c r="D45" i="78"/>
  <c r="D41" i="78"/>
  <c r="D39" i="78"/>
  <c r="D38" i="78"/>
  <c r="D100" i="78"/>
  <c r="D95" i="78"/>
  <c r="D20" i="78"/>
  <c r="D26" i="78" s="1"/>
  <c r="D14" i="78"/>
  <c r="D26" i="53"/>
  <c r="F56" i="53" s="1"/>
  <c r="D56" i="53" s="1"/>
  <c r="E56" i="53"/>
  <c r="D58" i="53"/>
  <c r="D57" i="53"/>
  <c r="C58" i="53"/>
  <c r="C57" i="53"/>
  <c r="D106" i="53"/>
  <c r="D105" i="53"/>
  <c r="D20" i="53"/>
  <c r="C26" i="53"/>
  <c r="C20" i="53"/>
  <c r="C20" i="78"/>
  <c r="D14" i="53"/>
  <c r="D58" i="52"/>
  <c r="D57" i="52"/>
  <c r="C58" i="52"/>
  <c r="C57" i="52"/>
  <c r="D56" i="52"/>
  <c r="E56" i="52"/>
  <c r="F56" i="52"/>
  <c r="C26" i="52"/>
  <c r="D106" i="52"/>
  <c r="D105" i="52"/>
  <c r="D104" i="52"/>
  <c r="D41" i="52"/>
  <c r="D14" i="52"/>
  <c r="J27" i="88"/>
  <c r="K28" i="88" s="1"/>
  <c r="J26" i="88"/>
  <c r="M34" i="72"/>
  <c r="D53" i="52" l="1"/>
  <c r="D40" i="52"/>
  <c r="D33" i="79"/>
  <c r="D56" i="78"/>
  <c r="D63" i="78" s="1"/>
  <c r="D69" i="78" s="1"/>
  <c r="D109" i="78"/>
  <c r="D128" i="78" s="1"/>
  <c r="D27" i="78"/>
  <c r="D33" i="78" s="1"/>
  <c r="D109" i="53"/>
  <c r="D128" i="53" s="1"/>
  <c r="D27" i="53"/>
  <c r="D108" i="52"/>
  <c r="D127" i="52" s="1"/>
  <c r="D27" i="52"/>
  <c r="D33" i="52" s="1"/>
  <c r="K30" i="88"/>
  <c r="K33" i="88"/>
  <c r="K32" i="88"/>
  <c r="K31" i="88"/>
  <c r="J28" i="88"/>
  <c r="J30" i="88" s="1"/>
  <c r="I16" i="88"/>
  <c r="E16" i="88"/>
  <c r="D87" i="79" l="1"/>
  <c r="D86" i="79"/>
  <c r="D74" i="79"/>
  <c r="D45" i="79"/>
  <c r="D79" i="79"/>
  <c r="D76" i="79"/>
  <c r="D85" i="79"/>
  <c r="D52" i="79"/>
  <c r="D41" i="79"/>
  <c r="D38" i="79"/>
  <c r="D46" i="79"/>
  <c r="D84" i="79"/>
  <c r="D51" i="79"/>
  <c r="D39" i="79"/>
  <c r="D50" i="79"/>
  <c r="D75" i="79"/>
  <c r="D78" i="79"/>
  <c r="D49" i="79"/>
  <c r="D88" i="79"/>
  <c r="D47" i="79"/>
  <c r="D77" i="79"/>
  <c r="D48" i="79"/>
  <c r="D124" i="79"/>
  <c r="D124" i="78"/>
  <c r="D89" i="78"/>
  <c r="D123" i="52"/>
  <c r="D93" i="52"/>
  <c r="D95" i="52" s="1"/>
  <c r="D99" i="52" s="1"/>
  <c r="K34" i="88"/>
  <c r="K35" i="88" s="1"/>
  <c r="G16" i="88"/>
  <c r="W54" i="87"/>
  <c r="V54" i="87"/>
  <c r="P54" i="87"/>
  <c r="O54" i="87"/>
  <c r="P52" i="87"/>
  <c r="L52" i="87"/>
  <c r="V52" i="87" s="1"/>
  <c r="P51" i="87"/>
  <c r="L51" i="87"/>
  <c r="P50" i="87"/>
  <c r="L50" i="87"/>
  <c r="V50" i="87" s="1"/>
  <c r="P49" i="87"/>
  <c r="L49" i="87"/>
  <c r="P48" i="87"/>
  <c r="L48" i="87"/>
  <c r="V48" i="87" s="1"/>
  <c r="Z39" i="87"/>
  <c r="Z37" i="87"/>
  <c r="V37" i="87"/>
  <c r="J37" i="87"/>
  <c r="I37" i="87"/>
  <c r="G31" i="87"/>
  <c r="G30" i="87"/>
  <c r="G29" i="87"/>
  <c r="G28" i="87"/>
  <c r="G27" i="87"/>
  <c r="G26" i="87"/>
  <c r="G25" i="87"/>
  <c r="G24" i="87"/>
  <c r="G23" i="87"/>
  <c r="G22" i="87"/>
  <c r="G21" i="87"/>
  <c r="G20" i="87"/>
  <c r="J19" i="87"/>
  <c r="I19" i="87"/>
  <c r="G19" i="87"/>
  <c r="D40" i="78" l="1"/>
  <c r="D42" i="78" s="1"/>
  <c r="D67" i="78" s="1"/>
  <c r="D90" i="78"/>
  <c r="D91" i="78" s="1"/>
  <c r="D101" i="78" s="1"/>
  <c r="D127" i="78" s="1"/>
  <c r="D80" i="78"/>
  <c r="D126" i="78" s="1"/>
  <c r="D53" i="78"/>
  <c r="D68" i="78" s="1"/>
  <c r="D33" i="53"/>
  <c r="D93" i="53" s="1"/>
  <c r="O48" i="87"/>
  <c r="P53" i="87"/>
  <c r="P55" i="87" s="1"/>
  <c r="P56" i="87" s="1"/>
  <c r="O50" i="87"/>
  <c r="W50" i="87" s="1"/>
  <c r="O52" i="87"/>
  <c r="W52" i="87" s="1"/>
  <c r="V49" i="87"/>
  <c r="O49" i="87"/>
  <c r="W49" i="87" s="1"/>
  <c r="L53" i="87"/>
  <c r="W48" i="87"/>
  <c r="V51" i="87"/>
  <c r="O51" i="87"/>
  <c r="W51" i="87" s="1"/>
  <c r="R95" i="83"/>
  <c r="B29" i="74"/>
  <c r="D124" i="53" l="1"/>
  <c r="D70" i="78"/>
  <c r="D125" i="78" s="1"/>
  <c r="D129" i="78" s="1"/>
  <c r="D78" i="53"/>
  <c r="D51" i="53"/>
  <c r="D76" i="53"/>
  <c r="D49" i="53"/>
  <c r="D75" i="53"/>
  <c r="D84" i="53"/>
  <c r="D79" i="53"/>
  <c r="D77" i="53"/>
  <c r="D50" i="53"/>
  <c r="D88" i="53"/>
  <c r="D87" i="53"/>
  <c r="D48" i="53"/>
  <c r="D41" i="53"/>
  <c r="D52" i="53"/>
  <c r="D86" i="53"/>
  <c r="D74" i="53"/>
  <c r="D47" i="53"/>
  <c r="D85" i="53"/>
  <c r="D45" i="53"/>
  <c r="D46" i="53"/>
  <c r="D39" i="53"/>
  <c r="D100" i="53"/>
  <c r="D95" i="53"/>
  <c r="W53" i="87"/>
  <c r="W55" i="87" s="1"/>
  <c r="W56" i="87" s="1"/>
  <c r="V53" i="87"/>
  <c r="V55" i="87" s="1"/>
  <c r="V56" i="87" s="1"/>
  <c r="O53" i="87"/>
  <c r="O55" i="87" s="1"/>
  <c r="O56" i="87" s="1"/>
  <c r="H158" i="83"/>
  <c r="H157" i="83"/>
  <c r="F158" i="83"/>
  <c r="F157" i="83"/>
  <c r="D113" i="78" l="1"/>
  <c r="D114" i="78" s="1"/>
  <c r="G10" i="70"/>
  <c r="H10" i="70" s="1"/>
  <c r="G9" i="70"/>
  <c r="H9" i="70" s="1"/>
  <c r="G8" i="70"/>
  <c r="G7" i="70"/>
  <c r="H7" i="70" s="1"/>
  <c r="G6" i="70"/>
  <c r="H6" i="70" s="1"/>
  <c r="G5" i="70"/>
  <c r="G4" i="70"/>
  <c r="G3" i="70"/>
  <c r="H3" i="70" s="1"/>
  <c r="H4" i="70"/>
  <c r="H5" i="70"/>
  <c r="H8" i="70"/>
  <c r="H11" i="70" l="1"/>
  <c r="G18" i="81"/>
  <c r="G19" i="81" s="1"/>
  <c r="G12" i="81"/>
  <c r="G13" i="81" s="1"/>
  <c r="H156" i="83"/>
  <c r="H155" i="83"/>
  <c r="H154" i="83"/>
  <c r="H153" i="83"/>
  <c r="H144" i="83"/>
  <c r="H143" i="83"/>
  <c r="H142" i="83"/>
  <c r="H141" i="83"/>
  <c r="H140" i="83"/>
  <c r="H139" i="83"/>
  <c r="H138" i="83"/>
  <c r="H137" i="83"/>
  <c r="D7" i="86" l="1"/>
  <c r="F7" i="85"/>
  <c r="B34" i="74" l="1"/>
  <c r="B27" i="74"/>
  <c r="B24" i="74"/>
  <c r="B26" i="74"/>
  <c r="B37" i="74" l="1"/>
  <c r="F24" i="72" l="1"/>
  <c r="F23" i="72"/>
  <c r="F25" i="72" s="1"/>
  <c r="F8" i="84"/>
  <c r="B20" i="74"/>
  <c r="B28" i="74" s="1"/>
  <c r="B7" i="74"/>
  <c r="B38" i="74"/>
  <c r="B44" i="74" l="1"/>
  <c r="B9" i="74"/>
  <c r="E101" i="83"/>
  <c r="B25" i="74"/>
  <c r="E92" i="83" l="1"/>
  <c r="L62" i="83"/>
  <c r="L63" i="83" s="1"/>
  <c r="L54" i="83"/>
  <c r="L55" i="83" s="1"/>
  <c r="G60" i="83"/>
  <c r="G59" i="83"/>
  <c r="G52" i="83"/>
  <c r="G51" i="83"/>
  <c r="H60" i="83"/>
  <c r="H59" i="83"/>
  <c r="H52" i="83"/>
  <c r="H51" i="83"/>
  <c r="H126" i="83"/>
  <c r="H125" i="83"/>
  <c r="H124" i="83"/>
  <c r="H123" i="83"/>
  <c r="H122" i="83"/>
  <c r="H121" i="83"/>
  <c r="H120" i="83"/>
  <c r="H119" i="83"/>
  <c r="G126" i="83"/>
  <c r="G125" i="83"/>
  <c r="G124" i="83"/>
  <c r="G123" i="83"/>
  <c r="G122" i="83"/>
  <c r="G121" i="83"/>
  <c r="G120" i="83"/>
  <c r="G119" i="83"/>
  <c r="F126" i="83"/>
  <c r="F125" i="83"/>
  <c r="F124" i="83"/>
  <c r="F123" i="83"/>
  <c r="F122" i="83"/>
  <c r="F121" i="83"/>
  <c r="F120" i="83"/>
  <c r="F119" i="83"/>
  <c r="J119" i="83" l="1"/>
  <c r="J121" i="83"/>
  <c r="J123" i="83"/>
  <c r="M123" i="83" s="1"/>
  <c r="J125" i="83"/>
  <c r="M125" i="83" s="1"/>
  <c r="J120" i="83"/>
  <c r="M120" i="83" s="1"/>
  <c r="J122" i="83"/>
  <c r="M122" i="83" s="1"/>
  <c r="J124" i="83"/>
  <c r="M124" i="83" s="1"/>
  <c r="J126" i="83"/>
  <c r="E105" i="83"/>
  <c r="E104" i="83"/>
  <c r="E103" i="83"/>
  <c r="E102" i="83"/>
  <c r="E95" i="83"/>
  <c r="E93" i="83"/>
  <c r="E90" i="83"/>
  <c r="E44" i="83"/>
  <c r="E43" i="83"/>
  <c r="E42" i="83"/>
  <c r="E41" i="83"/>
  <c r="E40" i="83"/>
  <c r="E39" i="83"/>
  <c r="E38" i="83"/>
  <c r="E37" i="83"/>
  <c r="E32" i="83"/>
  <c r="E31" i="83"/>
  <c r="K158" i="83"/>
  <c r="M158" i="83" s="1"/>
  <c r="K157" i="83"/>
  <c r="M157" i="83" s="1"/>
  <c r="K156" i="83"/>
  <c r="M156" i="83" s="1"/>
  <c r="K155" i="83"/>
  <c r="M155" i="83" s="1"/>
  <c r="K154" i="83"/>
  <c r="M154" i="83" s="1"/>
  <c r="K153" i="83"/>
  <c r="K144" i="83"/>
  <c r="M144" i="83" s="1"/>
  <c r="K143" i="83"/>
  <c r="M143" i="83" s="1"/>
  <c r="K142" i="83"/>
  <c r="M142" i="83" s="1"/>
  <c r="K141" i="83"/>
  <c r="M141" i="83" s="1"/>
  <c r="K140" i="83"/>
  <c r="M140" i="83" s="1"/>
  <c r="K139" i="83"/>
  <c r="M139" i="83" s="1"/>
  <c r="K138" i="83"/>
  <c r="M138" i="83" s="1"/>
  <c r="K137" i="83"/>
  <c r="M137" i="83" s="1"/>
  <c r="M126" i="83"/>
  <c r="M121" i="83"/>
  <c r="I71" i="83"/>
  <c r="G71" i="83"/>
  <c r="I70" i="83"/>
  <c r="G70" i="83"/>
  <c r="B114" i="53"/>
  <c r="B114" i="78" s="1"/>
  <c r="B114" i="79" s="1"/>
  <c r="B113" i="53"/>
  <c r="B113" i="78" s="1"/>
  <c r="B113" i="79" s="1"/>
  <c r="F5" i="81"/>
  <c r="F4" i="81"/>
  <c r="E5" i="81"/>
  <c r="E4" i="81"/>
  <c r="H21" i="37"/>
  <c r="I21" i="37" s="1"/>
  <c r="H10" i="37"/>
  <c r="I10" i="37" s="1"/>
  <c r="G4" i="81" l="1"/>
  <c r="G5" i="81"/>
  <c r="K159" i="83"/>
  <c r="M153" i="83"/>
  <c r="M159" i="83" s="1"/>
  <c r="M160" i="83" s="1"/>
  <c r="J127" i="83"/>
  <c r="M119" i="83"/>
  <c r="M127" i="83" s="1"/>
  <c r="K145" i="83"/>
  <c r="M145" i="83"/>
  <c r="M146" i="83" s="1"/>
  <c r="L70" i="83"/>
  <c r="L71" i="83"/>
  <c r="C105" i="78"/>
  <c r="E106" i="83"/>
  <c r="E45" i="83"/>
  <c r="G11" i="70"/>
  <c r="C105" i="53" l="1"/>
  <c r="C104" i="52"/>
  <c r="C105" i="79"/>
  <c r="H22" i="37"/>
  <c r="I22" i="37" s="1"/>
  <c r="H20" i="37"/>
  <c r="I20" i="37" s="1"/>
  <c r="H19" i="37"/>
  <c r="I19" i="37" s="1"/>
  <c r="H18" i="37"/>
  <c r="I18" i="37" s="1"/>
  <c r="H17" i="37"/>
  <c r="I17" i="37" l="1"/>
  <c r="I23" i="37" s="1"/>
  <c r="I24" i="37" s="1"/>
  <c r="C107" i="53" s="1"/>
  <c r="H23" i="37"/>
  <c r="E25" i="72"/>
  <c r="B115" i="79"/>
  <c r="C27" i="79"/>
  <c r="C14" i="79"/>
  <c r="A13" i="79"/>
  <c r="B115" i="78"/>
  <c r="C26" i="78"/>
  <c r="C14" i="78"/>
  <c r="A13" i="78"/>
  <c r="C27" i="78" l="1"/>
  <c r="C33" i="78" s="1"/>
  <c r="C106" i="52"/>
  <c r="C33" i="79"/>
  <c r="B32" i="79"/>
  <c r="B32" i="78"/>
  <c r="D63" i="79" l="1"/>
  <c r="D69" i="79" s="1"/>
  <c r="C124" i="79"/>
  <c r="P17" i="76"/>
  <c r="P16" i="76"/>
  <c r="C100" i="79" l="1"/>
  <c r="C95" i="79"/>
  <c r="C124" i="78"/>
  <c r="H17" i="76"/>
  <c r="H16" i="76"/>
  <c r="E18" i="76"/>
  <c r="Q17" i="76"/>
  <c r="F17" i="76"/>
  <c r="F16" i="76"/>
  <c r="C100" i="78" l="1"/>
  <c r="C95" i="78"/>
  <c r="F18" i="76"/>
  <c r="O18" i="76"/>
  <c r="Q18" i="76" s="1"/>
  <c r="H11" i="37"/>
  <c r="I11" i="37" s="1"/>
  <c r="H8" i="37"/>
  <c r="I8" i="37" s="1"/>
  <c r="B88" i="65" l="1"/>
  <c r="B89" i="52" s="1"/>
  <c r="B89" i="53" s="1"/>
  <c r="B87" i="65"/>
  <c r="B88" i="52" s="1"/>
  <c r="B86" i="65"/>
  <c r="B87" i="52" s="1"/>
  <c r="B87" i="53" s="1"/>
  <c r="B85" i="65"/>
  <c r="B86" i="52" s="1"/>
  <c r="B86" i="53" s="1"/>
  <c r="B84" i="65"/>
  <c r="B85" i="52" s="1"/>
  <c r="B83" i="65"/>
  <c r="B84" i="52" s="1"/>
  <c r="B78" i="65"/>
  <c r="B79" i="52" s="1"/>
  <c r="B76" i="65"/>
  <c r="B77" i="52" s="1"/>
  <c r="B75" i="65"/>
  <c r="B76" i="52" s="1"/>
  <c r="B73" i="65"/>
  <c r="B74" i="52" s="1"/>
  <c r="B51" i="65"/>
  <c r="B52" i="52" s="1"/>
  <c r="B50" i="65"/>
  <c r="B51" i="52" s="1"/>
  <c r="B49" i="65"/>
  <c r="B50" i="52" s="1"/>
  <c r="B48" i="65"/>
  <c r="B49" i="52" s="1"/>
  <c r="B47" i="65"/>
  <c r="B48" i="52" s="1"/>
  <c r="B46" i="65"/>
  <c r="B47" i="52" s="1"/>
  <c r="B45" i="65"/>
  <c r="B46" i="52" s="1"/>
  <c r="B44" i="65"/>
  <c r="B45" i="52" s="1"/>
  <c r="B39" i="65"/>
  <c r="B39" i="52" s="1"/>
  <c r="B38" i="65"/>
  <c r="B38" i="52" s="1"/>
  <c r="B38" i="53" s="1"/>
  <c r="B40" i="74"/>
  <c r="B41" i="74" s="1"/>
  <c r="E94" i="83"/>
  <c r="B8" i="74"/>
  <c r="B45" i="53" l="1"/>
  <c r="B45" i="78" s="1"/>
  <c r="C45" i="78" s="1"/>
  <c r="B47" i="53"/>
  <c r="B47" i="79" s="1"/>
  <c r="C47" i="79" s="1"/>
  <c r="B49" i="53"/>
  <c r="B49" i="78" s="1"/>
  <c r="C49" i="78" s="1"/>
  <c r="B51" i="53"/>
  <c r="B51" i="79" s="1"/>
  <c r="C51" i="79" s="1"/>
  <c r="B46" i="53"/>
  <c r="B46" i="78" s="1"/>
  <c r="C46" i="78" s="1"/>
  <c r="B48" i="53"/>
  <c r="B48" i="78" s="1"/>
  <c r="C48" i="78" s="1"/>
  <c r="B50" i="53"/>
  <c r="B50" i="79" s="1"/>
  <c r="C50" i="79" s="1"/>
  <c r="B52" i="53"/>
  <c r="B38" i="78"/>
  <c r="C38" i="78" s="1"/>
  <c r="B38" i="79"/>
  <c r="C38" i="79" s="1"/>
  <c r="B89" i="79"/>
  <c r="C89" i="79" s="1"/>
  <c r="D89" i="79" s="1"/>
  <c r="B89" i="78"/>
  <c r="C89" i="78" s="1"/>
  <c r="B45" i="79"/>
  <c r="C45" i="79" s="1"/>
  <c r="B86" i="78"/>
  <c r="C86" i="78" s="1"/>
  <c r="B86" i="79"/>
  <c r="C86" i="79" s="1"/>
  <c r="B87" i="79"/>
  <c r="C87" i="79" s="1"/>
  <c r="B87" i="78"/>
  <c r="C87" i="78" s="1"/>
  <c r="B88" i="53"/>
  <c r="B88" i="79" s="1"/>
  <c r="C88" i="79" s="1"/>
  <c r="B85" i="53"/>
  <c r="B85" i="79" s="1"/>
  <c r="C85" i="79" s="1"/>
  <c r="B77" i="53"/>
  <c r="B77" i="78" s="1"/>
  <c r="C77" i="78" s="1"/>
  <c r="B79" i="53"/>
  <c r="B79" i="78" s="1"/>
  <c r="C79" i="78" s="1"/>
  <c r="B76" i="53"/>
  <c r="B76" i="79" s="1"/>
  <c r="C76" i="79" s="1"/>
  <c r="B74" i="53"/>
  <c r="B74" i="79" s="1"/>
  <c r="C74" i="79" s="1"/>
  <c r="B39" i="53"/>
  <c r="B39" i="79" s="1"/>
  <c r="C39" i="79" s="1"/>
  <c r="B77" i="65"/>
  <c r="B78" i="52" s="1"/>
  <c r="B84" i="53"/>
  <c r="B90" i="52"/>
  <c r="B89" i="65"/>
  <c r="D40" i="79" l="1"/>
  <c r="B50" i="78"/>
  <c r="C50" i="78" s="1"/>
  <c r="B51" i="78"/>
  <c r="C51" i="78" s="1"/>
  <c r="B49" i="79"/>
  <c r="C49" i="79" s="1"/>
  <c r="B47" i="78"/>
  <c r="C47" i="78" s="1"/>
  <c r="B48" i="79"/>
  <c r="C48" i="79" s="1"/>
  <c r="B46" i="79"/>
  <c r="C46" i="79" s="1"/>
  <c r="B52" i="79"/>
  <c r="C52" i="79" s="1"/>
  <c r="B79" i="79"/>
  <c r="C79" i="79" s="1"/>
  <c r="B52" i="78"/>
  <c r="C52" i="78" s="1"/>
  <c r="B39" i="78"/>
  <c r="C39" i="78" s="1"/>
  <c r="C40" i="78" s="1"/>
  <c r="B74" i="78"/>
  <c r="C74" i="78" s="1"/>
  <c r="B88" i="78"/>
  <c r="C88" i="78" s="1"/>
  <c r="B85" i="78"/>
  <c r="C85" i="78" s="1"/>
  <c r="B78" i="53"/>
  <c r="B78" i="79" s="1"/>
  <c r="C78" i="79" s="1"/>
  <c r="B77" i="79"/>
  <c r="C77" i="79" s="1"/>
  <c r="B76" i="78"/>
  <c r="C76" i="78" s="1"/>
  <c r="B30" i="74"/>
  <c r="E91" i="83"/>
  <c r="E96" i="83" s="1"/>
  <c r="B74" i="65"/>
  <c r="B75" i="52" s="1"/>
  <c r="E33" i="83"/>
  <c r="E34" i="83" s="1"/>
  <c r="B84" i="79"/>
  <c r="C84" i="79" s="1"/>
  <c r="D90" i="79" s="1"/>
  <c r="D91" i="79" s="1"/>
  <c r="D99" i="79" s="1"/>
  <c r="D101" i="79" s="1"/>
  <c r="D127" i="79" s="1"/>
  <c r="B84" i="78"/>
  <c r="C84" i="78" s="1"/>
  <c r="B90" i="53"/>
  <c r="B91" i="52"/>
  <c r="B40" i="79"/>
  <c r="C40" i="79"/>
  <c r="H9" i="37"/>
  <c r="I9" i="37" s="1"/>
  <c r="H7" i="37"/>
  <c r="I7" i="37" s="1"/>
  <c r="C13" i="65"/>
  <c r="A13" i="53"/>
  <c r="A13" i="65"/>
  <c r="A13" i="52"/>
  <c r="D53" i="79" l="1"/>
  <c r="D68" i="79" s="1"/>
  <c r="B53" i="79"/>
  <c r="B68" i="79" s="1"/>
  <c r="B53" i="78"/>
  <c r="B68" i="78" s="1"/>
  <c r="B41" i="79"/>
  <c r="C41" i="79" s="1"/>
  <c r="B40" i="78"/>
  <c r="B78" i="78"/>
  <c r="C78" i="78" s="1"/>
  <c r="B75" i="53"/>
  <c r="B75" i="78" s="1"/>
  <c r="C75" i="78" s="1"/>
  <c r="B42" i="74"/>
  <c r="B46" i="74" s="1"/>
  <c r="B90" i="79"/>
  <c r="B91" i="79" s="1"/>
  <c r="C90" i="79"/>
  <c r="C91" i="79" s="1"/>
  <c r="C99" i="79" s="1"/>
  <c r="C101" i="79" s="1"/>
  <c r="C127" i="79" s="1"/>
  <c r="B90" i="78"/>
  <c r="B91" i="78" s="1"/>
  <c r="C90" i="78"/>
  <c r="C91" i="78" s="1"/>
  <c r="C99" i="78" s="1"/>
  <c r="C101" i="78" s="1"/>
  <c r="C127" i="78" s="1"/>
  <c r="B67" i="79"/>
  <c r="B70" i="79" s="1"/>
  <c r="H5" i="37"/>
  <c r="I5" i="37" s="1"/>
  <c r="C42" i="79" l="1"/>
  <c r="C67" i="79" s="1"/>
  <c r="D42" i="79"/>
  <c r="D67" i="79" s="1"/>
  <c r="D70" i="79" s="1"/>
  <c r="D125" i="79" s="1"/>
  <c r="B42" i="79"/>
  <c r="B75" i="79"/>
  <c r="C75" i="79" s="1"/>
  <c r="B41" i="78"/>
  <c r="C41" i="78" s="1"/>
  <c r="C42" i="78" s="1"/>
  <c r="C67" i="78" s="1"/>
  <c r="B67" i="78"/>
  <c r="B70" i="78" s="1"/>
  <c r="C126" i="78"/>
  <c r="B80" i="78"/>
  <c r="B80" i="79"/>
  <c r="C53" i="79"/>
  <c r="C68" i="79" s="1"/>
  <c r="C53" i="78"/>
  <c r="C68" i="78" s="1"/>
  <c r="C80" i="79" l="1"/>
  <c r="C126" i="79" s="1"/>
  <c r="D80" i="79"/>
  <c r="D126" i="79" s="1"/>
  <c r="D129" i="79" s="1"/>
  <c r="B42" i="78"/>
  <c r="C56" i="65"/>
  <c r="D55" i="65"/>
  <c r="D113" i="79" l="1"/>
  <c r="D114" i="79" s="1"/>
  <c r="H6" i="37"/>
  <c r="I6" i="37" s="1"/>
  <c r="C104" i="65" l="1"/>
  <c r="B57" i="65" l="1"/>
  <c r="C57" i="65" s="1"/>
  <c r="C105" i="65" l="1"/>
  <c r="B114" i="65"/>
  <c r="C26" i="65"/>
  <c r="E55" i="65" s="1"/>
  <c r="C14" i="65"/>
  <c r="B57" i="79" l="1"/>
  <c r="B57" i="78"/>
  <c r="B40" i="65"/>
  <c r="B66" i="65" s="1"/>
  <c r="B57" i="53"/>
  <c r="C55" i="65"/>
  <c r="B52" i="65"/>
  <c r="B67" i="65" s="1"/>
  <c r="B31" i="65"/>
  <c r="C27" i="65"/>
  <c r="B32" i="65"/>
  <c r="H4" i="37"/>
  <c r="I4" i="37" s="1"/>
  <c r="I12" i="37" s="1"/>
  <c r="I13" i="37" s="1"/>
  <c r="C62" i="65" l="1"/>
  <c r="C68" i="65" s="1"/>
  <c r="C106" i="79"/>
  <c r="C109" i="79" s="1"/>
  <c r="C128" i="79" s="1"/>
  <c r="C106" i="53"/>
  <c r="C109" i="53" s="1"/>
  <c r="C106" i="78"/>
  <c r="C109" i="78" s="1"/>
  <c r="C128" i="78" s="1"/>
  <c r="C105" i="52"/>
  <c r="C108" i="52" s="1"/>
  <c r="B58" i="79"/>
  <c r="B58" i="78"/>
  <c r="F58" i="52"/>
  <c r="H12" i="37"/>
  <c r="C33" i="65"/>
  <c r="B58" i="53"/>
  <c r="C63" i="78" l="1"/>
  <c r="C69" i="78" s="1"/>
  <c r="C63" i="79"/>
  <c r="C69" i="79" s="1"/>
  <c r="C70" i="79" s="1"/>
  <c r="C125" i="79" s="1"/>
  <c r="C129" i="79" s="1"/>
  <c r="C113" i="79" s="1"/>
  <c r="C38" i="65"/>
  <c r="C88" i="65"/>
  <c r="C85" i="65"/>
  <c r="C78" i="65"/>
  <c r="C73" i="65"/>
  <c r="C86" i="65"/>
  <c r="C76" i="65"/>
  <c r="C39" i="65"/>
  <c r="C87" i="65"/>
  <c r="C83" i="65"/>
  <c r="C75" i="65"/>
  <c r="C123" i="65"/>
  <c r="C84" i="65"/>
  <c r="C70" i="78" l="1"/>
  <c r="C125" i="78" s="1"/>
  <c r="C129" i="78" s="1"/>
  <c r="C114" i="79"/>
  <c r="C40" i="65"/>
  <c r="C44" i="65" s="1"/>
  <c r="C89" i="65"/>
  <c r="C47" i="65"/>
  <c r="C51" i="65"/>
  <c r="C113" i="78" l="1"/>
  <c r="C114" i="78" s="1"/>
  <c r="C45" i="65"/>
  <c r="C49" i="65"/>
  <c r="C48" i="65"/>
  <c r="C50" i="65"/>
  <c r="C46" i="65"/>
  <c r="B115" i="53"/>
  <c r="C14" i="53"/>
  <c r="B114" i="52"/>
  <c r="F6" i="87"/>
  <c r="C14" i="52"/>
  <c r="F18" i="87" l="1"/>
  <c r="G18" i="87" s="1"/>
  <c r="K18" i="87" s="1"/>
  <c r="F14" i="87"/>
  <c r="G14" i="87" s="1"/>
  <c r="K14" i="87" s="1"/>
  <c r="F7" i="87"/>
  <c r="F12" i="87"/>
  <c r="G12" i="87" s="1"/>
  <c r="F17" i="87"/>
  <c r="G17" i="87" s="1"/>
  <c r="K17" i="87" s="1"/>
  <c r="F13" i="87"/>
  <c r="F16" i="87"/>
  <c r="G16" i="87" s="1"/>
  <c r="K16" i="87" s="1"/>
  <c r="F15" i="87"/>
  <c r="G15" i="87" s="1"/>
  <c r="K15" i="87" s="1"/>
  <c r="F11" i="87"/>
  <c r="G11" i="87" s="1"/>
  <c r="C27" i="52"/>
  <c r="G6" i="87" s="1"/>
  <c r="K6" i="87" s="1"/>
  <c r="C52" i="65"/>
  <c r="C67" i="65" s="1"/>
  <c r="C108" i="65"/>
  <c r="C127" i="65" s="1"/>
  <c r="B53" i="53"/>
  <c r="B68" i="53" s="1"/>
  <c r="B53" i="52"/>
  <c r="B68" i="52" s="1"/>
  <c r="B40" i="52"/>
  <c r="C27" i="53"/>
  <c r="C30" i="53" s="1"/>
  <c r="B31" i="53"/>
  <c r="B40" i="53"/>
  <c r="B32" i="53"/>
  <c r="B32" i="52"/>
  <c r="B31" i="52"/>
  <c r="D63" i="53" l="1"/>
  <c r="D69" i="53" s="1"/>
  <c r="C63" i="52"/>
  <c r="C69" i="52" s="1"/>
  <c r="D63" i="52"/>
  <c r="D69" i="52" s="1"/>
  <c r="P6" i="87"/>
  <c r="L6" i="87"/>
  <c r="O6" i="87"/>
  <c r="P18" i="87"/>
  <c r="O18" i="87"/>
  <c r="U18" i="87" s="1"/>
  <c r="L18" i="87"/>
  <c r="N18" i="87" s="1"/>
  <c r="P15" i="87"/>
  <c r="L15" i="87"/>
  <c r="N15" i="87" s="1"/>
  <c r="O15" i="87"/>
  <c r="U15" i="87" s="1"/>
  <c r="P16" i="87"/>
  <c r="O16" i="87"/>
  <c r="U16" i="87" s="1"/>
  <c r="L16" i="87"/>
  <c r="N16" i="87" s="1"/>
  <c r="F10" i="87"/>
  <c r="F8" i="87"/>
  <c r="G7" i="87"/>
  <c r="G8" i="87" s="1"/>
  <c r="C29" i="53"/>
  <c r="H10" i="87" s="1"/>
  <c r="H11" i="87" s="1"/>
  <c r="H12" i="87" s="1"/>
  <c r="P17" i="87"/>
  <c r="O17" i="87"/>
  <c r="U17" i="87" s="1"/>
  <c r="L17" i="87"/>
  <c r="N17" i="87" s="1"/>
  <c r="G9" i="87"/>
  <c r="K9" i="87" s="1"/>
  <c r="G13" i="87"/>
  <c r="P14" i="87"/>
  <c r="O14" i="87"/>
  <c r="U14" i="87" s="1"/>
  <c r="L14" i="87"/>
  <c r="N14" i="87" s="1"/>
  <c r="B41" i="52"/>
  <c r="B42" i="52" s="1"/>
  <c r="B67" i="52" s="1"/>
  <c r="B41" i="53"/>
  <c r="B42" i="53"/>
  <c r="B67" i="53"/>
  <c r="C63" i="53" l="1"/>
  <c r="C69" i="53" s="1"/>
  <c r="K7" i="87"/>
  <c r="P7" i="87" s="1"/>
  <c r="Q17" i="87"/>
  <c r="K8" i="87"/>
  <c r="L8" i="87" s="1"/>
  <c r="N8" i="87" s="1"/>
  <c r="W15" i="87"/>
  <c r="AA15" i="87" s="1"/>
  <c r="C33" i="53"/>
  <c r="C38" i="53" s="1"/>
  <c r="Q16" i="87"/>
  <c r="W16" i="87"/>
  <c r="AA16" i="87" s="1"/>
  <c r="Q15" i="87"/>
  <c r="H13" i="87"/>
  <c r="K13" i="87" s="1"/>
  <c r="G10" i="87"/>
  <c r="G37" i="87" s="1"/>
  <c r="U6" i="87"/>
  <c r="O9" i="87"/>
  <c r="U9" i="87" s="1"/>
  <c r="L9" i="87"/>
  <c r="N9" i="87" s="1"/>
  <c r="P9" i="87"/>
  <c r="AA17" i="87"/>
  <c r="O8" i="87"/>
  <c r="U8" i="87" s="1"/>
  <c r="K12" i="87"/>
  <c r="N6" i="87"/>
  <c r="Q14" i="87"/>
  <c r="W14" i="87"/>
  <c r="AA14" i="87" s="1"/>
  <c r="F37" i="87"/>
  <c r="W18" i="87"/>
  <c r="AA18" i="87" s="1"/>
  <c r="Q18" i="87"/>
  <c r="K11" i="87"/>
  <c r="C33" i="52"/>
  <c r="C89" i="52" s="1"/>
  <c r="D89" i="52" s="1"/>
  <c r="C75" i="53" l="1"/>
  <c r="C88" i="53"/>
  <c r="O7" i="87"/>
  <c r="U7" i="87" s="1"/>
  <c r="L7" i="87"/>
  <c r="N7" i="87" s="1"/>
  <c r="W7" i="87" s="1"/>
  <c r="AA7" i="87" s="1"/>
  <c r="C77" i="53"/>
  <c r="C86" i="53"/>
  <c r="P8" i="87"/>
  <c r="Q8" i="87" s="1"/>
  <c r="C123" i="52"/>
  <c r="C78" i="53"/>
  <c r="C39" i="53"/>
  <c r="D40" i="53" s="1"/>
  <c r="C79" i="53"/>
  <c r="C87" i="53"/>
  <c r="C76" i="53"/>
  <c r="C84" i="53"/>
  <c r="C85" i="53"/>
  <c r="C124" i="53"/>
  <c r="C89" i="53"/>
  <c r="D89" i="53" s="1"/>
  <c r="D90" i="53" s="1"/>
  <c r="C74" i="53"/>
  <c r="P13" i="87"/>
  <c r="O13" i="87"/>
  <c r="U13" i="87" s="1"/>
  <c r="L13" i="87"/>
  <c r="N13" i="87" s="1"/>
  <c r="W6" i="87"/>
  <c r="Q6" i="87"/>
  <c r="W9" i="87"/>
  <c r="AA9" i="87" s="1"/>
  <c r="Q9" i="87"/>
  <c r="H37" i="87"/>
  <c r="C93" i="53"/>
  <c r="C100" i="53" s="1"/>
  <c r="C52" i="53"/>
  <c r="C51" i="53"/>
  <c r="C50" i="53"/>
  <c r="C48" i="53"/>
  <c r="C46" i="53"/>
  <c r="C49" i="53"/>
  <c r="C47" i="53"/>
  <c r="C45" i="53"/>
  <c r="W8" i="87"/>
  <c r="AA8" i="87" s="1"/>
  <c r="P11" i="87"/>
  <c r="L11" i="87"/>
  <c r="N11" i="87" s="1"/>
  <c r="O11" i="87"/>
  <c r="U11" i="87" s="1"/>
  <c r="P12" i="87"/>
  <c r="O12" i="87"/>
  <c r="U12" i="87" s="1"/>
  <c r="L12" i="87"/>
  <c r="N12" i="87" s="1"/>
  <c r="C41" i="53"/>
  <c r="K10" i="87"/>
  <c r="C41" i="52"/>
  <c r="C93" i="52"/>
  <c r="C45" i="52"/>
  <c r="D68" i="52" s="1"/>
  <c r="C47" i="52"/>
  <c r="C49" i="52"/>
  <c r="C51" i="52"/>
  <c r="C46" i="52"/>
  <c r="C48" i="52"/>
  <c r="C50" i="52"/>
  <c r="C52" i="52"/>
  <c r="C87" i="52"/>
  <c r="C38" i="52"/>
  <c r="D42" i="52" s="1"/>
  <c r="D67" i="52" s="1"/>
  <c r="C86" i="52"/>
  <c r="C84" i="52"/>
  <c r="C88" i="52"/>
  <c r="C85" i="52"/>
  <c r="C77" i="52"/>
  <c r="C79" i="52"/>
  <c r="C76" i="52"/>
  <c r="C74" i="52"/>
  <c r="D80" i="52" s="1"/>
  <c r="D125" i="52" s="1"/>
  <c r="C39" i="52"/>
  <c r="C78" i="52"/>
  <c r="C75" i="52"/>
  <c r="C40" i="53"/>
  <c r="D70" i="52" l="1"/>
  <c r="D124" i="52" s="1"/>
  <c r="D42" i="53"/>
  <c r="D67" i="53" s="1"/>
  <c r="D91" i="53"/>
  <c r="D99" i="53" s="1"/>
  <c r="D101" i="53" s="1"/>
  <c r="D127" i="53" s="1"/>
  <c r="D53" i="53"/>
  <c r="D68" i="53" s="1"/>
  <c r="D80" i="53"/>
  <c r="D126" i="53" s="1"/>
  <c r="D90" i="52"/>
  <c r="D91" i="52" s="1"/>
  <c r="Q7" i="87"/>
  <c r="C90" i="53"/>
  <c r="C91" i="53" s="1"/>
  <c r="W11" i="87"/>
  <c r="AA11" i="87" s="1"/>
  <c r="P10" i="87"/>
  <c r="L10" i="87"/>
  <c r="O10" i="87"/>
  <c r="K37" i="87"/>
  <c r="C42" i="53"/>
  <c r="Q11" i="87"/>
  <c r="AA6" i="87"/>
  <c r="W13" i="87"/>
  <c r="AA13" i="87" s="1"/>
  <c r="Q13" i="87"/>
  <c r="W12" i="87"/>
  <c r="AA12" i="87" s="1"/>
  <c r="Q12" i="87"/>
  <c r="C90" i="52"/>
  <c r="C91" i="52" s="1"/>
  <c r="C40" i="52"/>
  <c r="C42" i="52" s="1"/>
  <c r="D70" i="53" l="1"/>
  <c r="D125" i="53" s="1"/>
  <c r="D129" i="53" s="1"/>
  <c r="D98" i="52"/>
  <c r="D100" i="52" s="1"/>
  <c r="D126" i="52" s="1"/>
  <c r="D128" i="52" s="1"/>
  <c r="N10" i="87"/>
  <c r="L37" i="87"/>
  <c r="U10" i="87"/>
  <c r="O39" i="87"/>
  <c r="O37" i="87"/>
  <c r="P37" i="87"/>
  <c r="P39" i="87"/>
  <c r="C53" i="53"/>
  <c r="C68" i="53" s="1"/>
  <c r="C127" i="52"/>
  <c r="C128" i="53"/>
  <c r="D113" i="53" l="1"/>
  <c r="D114" i="53" s="1"/>
  <c r="U37" i="87"/>
  <c r="U39" i="87"/>
  <c r="W10" i="87"/>
  <c r="Q10" i="87"/>
  <c r="Q39" i="87" s="1"/>
  <c r="N39" i="87"/>
  <c r="N37" i="87"/>
  <c r="C53" i="52"/>
  <c r="C68" i="52" s="1"/>
  <c r="B91" i="53"/>
  <c r="C74" i="65"/>
  <c r="AA10" i="87" l="1"/>
  <c r="W39" i="87"/>
  <c r="W37" i="87"/>
  <c r="R39" i="87"/>
  <c r="B90" i="65"/>
  <c r="B98" i="65" s="1"/>
  <c r="B98" i="52" s="1"/>
  <c r="B99" i="53" s="1"/>
  <c r="C90" i="65"/>
  <c r="AA37" i="87" l="1"/>
  <c r="L54" i="87" s="1"/>
  <c r="L55" i="87" s="1"/>
  <c r="L56" i="87" s="1"/>
  <c r="AA39" i="87"/>
  <c r="B99" i="79"/>
  <c r="B101" i="79" s="1"/>
  <c r="B99" i="78"/>
  <c r="B101" i="78" s="1"/>
  <c r="B69" i="65"/>
  <c r="B70" i="53"/>
  <c r="B70" i="52"/>
  <c r="C98" i="65" l="1"/>
  <c r="C98" i="52"/>
  <c r="C99" i="53"/>
  <c r="C80" i="53"/>
  <c r="C80" i="52"/>
  <c r="C67" i="52" l="1"/>
  <c r="C70" i="52" s="1"/>
  <c r="C124" i="52" s="1"/>
  <c r="C41" i="65"/>
  <c r="C66" i="65" s="1"/>
  <c r="C69" i="65" s="1"/>
  <c r="C124" i="65" s="1"/>
  <c r="B41" i="65"/>
  <c r="C67" i="53"/>
  <c r="C70" i="53" s="1"/>
  <c r="C125" i="53" s="1"/>
  <c r="C77" i="65"/>
  <c r="C79" i="65" s="1"/>
  <c r="C125" i="65" s="1"/>
  <c r="B79" i="65"/>
  <c r="C125" i="52"/>
  <c r="B80" i="52"/>
  <c r="C126" i="53"/>
  <c r="B80" i="53"/>
  <c r="C95" i="53" l="1"/>
  <c r="C101" i="53" s="1"/>
  <c r="C127" i="53" s="1"/>
  <c r="C129" i="53" s="1"/>
  <c r="C113" i="53" s="1"/>
  <c r="C99" i="65"/>
  <c r="C100" i="65" s="1"/>
  <c r="C126" i="65" s="1"/>
  <c r="C128" i="65" s="1"/>
  <c r="C112" i="65" s="1"/>
  <c r="C95" i="52"/>
  <c r="C99" i="52" s="1"/>
  <c r="C100" i="52" s="1"/>
  <c r="C126" i="52" s="1"/>
  <c r="C128" i="52" s="1"/>
  <c r="C112" i="52" l="1"/>
  <c r="C114" i="53"/>
  <c r="C113" i="65"/>
  <c r="C94" i="65"/>
  <c r="C113" i="52" l="1"/>
  <c r="B100" i="65"/>
  <c r="B100" i="52"/>
  <c r="B101" i="53"/>
  <c r="C119" i="65"/>
  <c r="C129" i="65" s="1"/>
  <c r="C130" i="65"/>
  <c r="C115" i="65" s="1"/>
  <c r="C132" i="65" l="1"/>
  <c r="C114" i="65"/>
  <c r="C117" i="65" l="1"/>
  <c r="I16" i="76"/>
  <c r="J16" i="76" s="1"/>
  <c r="N16" i="76" s="1"/>
  <c r="K16" i="76"/>
  <c r="L16" i="76" s="1"/>
  <c r="I17" i="76"/>
  <c r="J17" i="76" s="1"/>
  <c r="K17" i="76"/>
  <c r="L17" i="76" s="1"/>
  <c r="K18" i="76" l="1"/>
  <c r="I18" i="76"/>
  <c r="L18" i="76"/>
  <c r="J18" i="76"/>
  <c r="J25" i="76" s="1"/>
  <c r="N17" i="76"/>
  <c r="L20" i="76" l="1"/>
  <c r="L25" i="76" s="1"/>
  <c r="J20" i="76"/>
  <c r="C114" i="52"/>
  <c r="D114" i="52"/>
  <c r="C115" i="52"/>
  <c r="D115" i="52"/>
  <c r="C117" i="52"/>
  <c r="D117" i="52"/>
  <c r="C119" i="52"/>
  <c r="D119" i="52"/>
  <c r="C129" i="52"/>
  <c r="D129" i="52"/>
  <c r="C130" i="52"/>
  <c r="D130" i="52"/>
  <c r="C132" i="52"/>
  <c r="D132" i="52"/>
  <c r="E132" i="52"/>
  <c r="C115" i="53"/>
  <c r="D115" i="53"/>
  <c r="C116" i="53"/>
  <c r="D116" i="53"/>
  <c r="C118" i="53"/>
  <c r="D118" i="53"/>
  <c r="C120" i="53"/>
  <c r="D120" i="53"/>
  <c r="C130" i="53"/>
  <c r="D130" i="53"/>
  <c r="C131" i="53"/>
  <c r="D131" i="53"/>
  <c r="C133" i="53"/>
  <c r="D133" i="53"/>
  <c r="E133" i="53"/>
  <c r="C3" i="85"/>
  <c r="E3" i="85"/>
  <c r="H3" i="85"/>
  <c r="I3" i="85"/>
  <c r="C4" i="85"/>
  <c r="E4" i="85"/>
  <c r="H4" i="85"/>
  <c r="I4" i="85"/>
  <c r="C5" i="85"/>
  <c r="E5" i="85"/>
  <c r="H5" i="85"/>
  <c r="I5" i="85"/>
  <c r="C6" i="85"/>
  <c r="E6" i="85"/>
  <c r="H6" i="85"/>
  <c r="I6" i="85"/>
  <c r="H7" i="85"/>
  <c r="I7" i="85"/>
  <c r="C3" i="86"/>
  <c r="F3" i="86"/>
  <c r="C4" i="86"/>
  <c r="F4" i="86"/>
  <c r="C5" i="86"/>
  <c r="F5" i="86"/>
  <c r="C6" i="86"/>
  <c r="F6" i="86"/>
  <c r="F7" i="86"/>
  <c r="C115" i="78"/>
  <c r="D115" i="78"/>
  <c r="C116" i="78"/>
  <c r="D116" i="78"/>
  <c r="C118" i="78"/>
  <c r="D118" i="78"/>
  <c r="C120" i="78"/>
  <c r="D120" i="78"/>
  <c r="C130" i="78"/>
  <c r="D130" i="78"/>
  <c r="C131" i="78"/>
  <c r="D131" i="78"/>
  <c r="C133" i="78"/>
  <c r="D133" i="78"/>
  <c r="E133" i="78"/>
  <c r="C115" i="79"/>
  <c r="D115" i="79"/>
  <c r="C116" i="79"/>
  <c r="D116" i="79"/>
  <c r="C118" i="79"/>
  <c r="D118" i="79"/>
  <c r="C120" i="79"/>
  <c r="D120" i="79"/>
  <c r="C130" i="79"/>
  <c r="D130" i="79"/>
  <c r="C131" i="79"/>
  <c r="D131" i="79"/>
  <c r="C133" i="79"/>
  <c r="D133" i="79"/>
  <c r="C4" i="84"/>
  <c r="E4" i="84"/>
  <c r="H4" i="84"/>
  <c r="I4" i="84"/>
  <c r="C5" i="84"/>
  <c r="E5" i="84"/>
  <c r="H5" i="84"/>
  <c r="I5" i="84"/>
  <c r="C6" i="84"/>
  <c r="E6" i="84"/>
  <c r="H6" i="84"/>
  <c r="I6" i="84"/>
  <c r="C7" i="84"/>
  <c r="E7" i="84"/>
  <c r="H7" i="84"/>
  <c r="I7" i="84"/>
  <c r="H8" i="84"/>
  <c r="I8" i="84"/>
  <c r="C12" i="84"/>
  <c r="E12" i="84"/>
  <c r="H12" i="84"/>
  <c r="I12" i="84"/>
  <c r="C13" i="84"/>
  <c r="E13" i="84"/>
  <c r="H13" i="84"/>
  <c r="I13" i="84"/>
  <c r="C14" i="84"/>
  <c r="E14" i="84"/>
  <c r="H14" i="84"/>
  <c r="I14" i="84"/>
  <c r="C15" i="84"/>
  <c r="E15" i="84"/>
  <c r="H15" i="84"/>
  <c r="I15" i="84"/>
  <c r="H16" i="84"/>
  <c r="I16" i="84"/>
  <c r="F12" i="88"/>
  <c r="H12" i="88"/>
  <c r="J12" i="88"/>
  <c r="F13" i="88"/>
  <c r="H13" i="88"/>
  <c r="J13" i="88"/>
  <c r="F14" i="88"/>
  <c r="H14" i="88"/>
  <c r="J14" i="88"/>
  <c r="F15" i="88"/>
  <c r="H15" i="88"/>
  <c r="J15" i="88"/>
  <c r="J16" i="88"/>
  <c r="J18" i="88"/>
  <c r="G21" i="72"/>
  <c r="H21" i="72"/>
  <c r="I21" i="72"/>
  <c r="J21" i="72"/>
  <c r="G22" i="72"/>
  <c r="H22" i="72"/>
  <c r="I22" i="72"/>
  <c r="J22" i="72"/>
  <c r="G23" i="72"/>
  <c r="H23" i="72"/>
  <c r="I23" i="72"/>
  <c r="J23" i="72"/>
  <c r="K23" i="72"/>
  <c r="L23" i="72"/>
  <c r="G24" i="72"/>
  <c r="H24" i="72"/>
  <c r="I24" i="72"/>
  <c r="J24" i="72"/>
  <c r="I25" i="72"/>
  <c r="J25" i="72"/>
  <c r="K25" i="72"/>
  <c r="L25" i="72"/>
  <c r="J28" i="72"/>
  <c r="L28" i="72"/>
  <c r="J31" i="72"/>
  <c r="L31" i="72"/>
  <c r="L34" i="72"/>
  <c r="J37" i="72"/>
  <c r="L37" i="72"/>
</calcChain>
</file>

<file path=xl/sharedStrings.xml><?xml version="1.0" encoding="utf-8"?>
<sst xmlns="http://schemas.openxmlformats.org/spreadsheetml/2006/main" count="1499" uniqueCount="567">
  <si>
    <t>Periodicidade</t>
  </si>
  <si>
    <t>TOTAL</t>
  </si>
  <si>
    <t>Brasília/DF</t>
  </si>
  <si>
    <t>Tipo de serviço (mesmo serviço com características distintas)</t>
  </si>
  <si>
    <t>MÓDULO 1: COMPOSIÇÃO DA REMUNERAÇÃO</t>
  </si>
  <si>
    <t xml:space="preserve">1 - Composição da Remuneração </t>
  </si>
  <si>
    <t xml:space="preserve">Valor (R$) </t>
  </si>
  <si>
    <t xml:space="preserve">    A - Salário Base</t>
  </si>
  <si>
    <t xml:space="preserve">    B - Adicional periculosidade</t>
  </si>
  <si>
    <t xml:space="preserve">    C - Adicional insalubridade</t>
  </si>
  <si>
    <t>TOTAL DA REMUNERAÇÃO</t>
  </si>
  <si>
    <t xml:space="preserve">    A - Uniformes</t>
  </si>
  <si>
    <t>TOTAL DOS INSUMOS DIVERSOS</t>
  </si>
  <si>
    <t xml:space="preserve">    A - INSS</t>
  </si>
  <si>
    <t xml:space="preserve">    A - Aviso prévio indenizado </t>
  </si>
  <si>
    <t xml:space="preserve">    B - Incidência do FGTS sobre aviso prévio indenizado</t>
  </si>
  <si>
    <t>Total de provisão para Rescisão</t>
  </si>
  <si>
    <t>Módulo 4 - Encargos sociais e trabalhistas</t>
  </si>
  <si>
    <t xml:space="preserve">    A - Custos Indiretos</t>
  </si>
  <si>
    <t xml:space="preserve">    B - Lucro</t>
  </si>
  <si>
    <t xml:space="preserve">    C - Tributos</t>
  </si>
  <si>
    <t xml:space="preserve">        C.2 - Tributos Estaduais (especificar)</t>
  </si>
  <si>
    <t xml:space="preserve">        C.3 - Tributos Municipais (ISS)</t>
  </si>
  <si>
    <t xml:space="preserve">        C.4 - Outros Tributos (especificar)</t>
  </si>
  <si>
    <t>TOTAL DOS CUSTOS INDIRETOS, TRIBUTOS E LUCRO</t>
  </si>
  <si>
    <t>QUADRO RESUMO DO CUSTO POR EMPREGADO</t>
  </si>
  <si>
    <t>Mão-de-obra vinculada à execução contratual (valor por empregado)</t>
  </si>
  <si>
    <t xml:space="preserve">    A - Módulo 1 - Composição da Remuneração</t>
  </si>
  <si>
    <t>VALOR TOTAL POR EMPREGADO</t>
  </si>
  <si>
    <t>Lucro Real</t>
  </si>
  <si>
    <t>MÓDULO 2: ENCARGOS E BENEFÍCIOS ANUAIS, MENSAIS E DIÁRIOS</t>
  </si>
  <si>
    <t>Submódulo 2.1 - 13º (décimo-terceiro) Salário, Férias e Adicional de Férias</t>
  </si>
  <si>
    <t>Submódulo 2.3 - Benefícios Mensais e Diários</t>
  </si>
  <si>
    <t>QUADRO RESUMO - MÓDULO 2 - Encargos e Benefícios anuais, mensais e diários</t>
  </si>
  <si>
    <t xml:space="preserve">    2.1 - 13º (décimo-terceiro) Salário, Férias e Adicional de Férias</t>
  </si>
  <si>
    <t xml:space="preserve">    2.3 - Benefícios Mensais e diários</t>
  </si>
  <si>
    <t>MÓDULO 3: PROVISÃO PARA RESCISÃO</t>
  </si>
  <si>
    <t>3.1 - Provisão para Rescisão</t>
  </si>
  <si>
    <t>MÓDULO 4:  CUSTO DE REPOSIÇÃO DO PROFISSIONAL AUSENTE</t>
  </si>
  <si>
    <t>Submodulo 4.1 - Ausências Legais</t>
  </si>
  <si>
    <t>Submodulo 4.2 - Intrajornada</t>
  </si>
  <si>
    <t xml:space="preserve">    A - Intervalo para repouso ou alimentação</t>
  </si>
  <si>
    <t>QUADRO RESUMO - MÓDULO 4 - Custo de Reposição do profissional Ausente</t>
  </si>
  <si>
    <t xml:space="preserve">    4.1 - Ausências Legais</t>
  </si>
  <si>
    <t xml:space="preserve">    4.2 - Intrajornada</t>
  </si>
  <si>
    <t xml:space="preserve">TOTAL </t>
  </si>
  <si>
    <t>MÓDULO 5:  INSUMOS DIVERSOS</t>
  </si>
  <si>
    <t>5 - Insumos Diversos</t>
  </si>
  <si>
    <t>MÓDULO 6 - CUSTOS INDIRETOS, TRIBUTOS E LUCRO</t>
  </si>
  <si>
    <t>6 - Custos Indiretos, Tributos e Lucro</t>
  </si>
  <si>
    <t xml:space="preserve">    B - Módulo 2 - Encargos e Benefícios Anuais, Mensais e Diários</t>
  </si>
  <si>
    <t xml:space="preserve">    C - Módulo 3 - Provisão para Rescisão</t>
  </si>
  <si>
    <t xml:space="preserve">    D - Módulo 4 - Custo de Reposição do Profissional Ausente</t>
  </si>
  <si>
    <t xml:space="preserve">    E - Módulo 5 - Insumos Diversos</t>
  </si>
  <si>
    <t xml:space="preserve">    F - Módulo 6 - Custos Indiretos, Tributos e Lucro</t>
  </si>
  <si>
    <t>SUBTOTAL (A+B+C+D+E)</t>
  </si>
  <si>
    <t xml:space="preserve">    B - Férias e Adicional de Férias</t>
  </si>
  <si>
    <t xml:space="preserve">    F - Adicional de Hora Extra no Feriado Trabalhado</t>
  </si>
  <si>
    <t xml:space="preserve">    A - 13º (décimo terceiro) salário</t>
  </si>
  <si>
    <t>Submódulo 2.2 - Encargos Previdenciários (GPS) , Fundo de Garantia por Tempo de Serviço (FGTS) e Outras Contribuições</t>
  </si>
  <si>
    <t xml:space="preserve">    B - Salário Educação</t>
  </si>
  <si>
    <t xml:space="preserve">    D - SESC ou SESI</t>
  </si>
  <si>
    <t xml:space="preserve">    E - SENAI ou SENAC</t>
  </si>
  <si>
    <t xml:space="preserve">    F - SEBRAE</t>
  </si>
  <si>
    <t xml:space="preserve">    G - INCRA</t>
  </si>
  <si>
    <t xml:space="preserve">    H - FGTS</t>
  </si>
  <si>
    <t>SUBTOTAL</t>
  </si>
  <si>
    <t>Ref. PROPOSTA DE PREÇOS</t>
  </si>
  <si>
    <t>Prezados Senhores,</t>
  </si>
  <si>
    <t>Item</t>
  </si>
  <si>
    <t>VALOR TOTAL DO POSTO</t>
  </si>
  <si>
    <t xml:space="preserve">    G - Adicional de Intrajornada</t>
  </si>
  <si>
    <t xml:space="preserve">    C - Seguro Acidente do Trabalho/SAT/INSS (3 X 0,50)</t>
  </si>
  <si>
    <t>Módulo 2 - Encargos e Benefícios anuais, mensais e diários</t>
  </si>
  <si>
    <t>MEMÓRIA DE CÁLCULOS ENCARGOS SOCIAIS</t>
  </si>
  <si>
    <t>TOTAL GERAL ENCARGOS SOCIAIS</t>
  </si>
  <si>
    <t>SUB TOTAL</t>
  </si>
  <si>
    <t>TOTAL:</t>
  </si>
  <si>
    <t>Valor mensal do serviço</t>
  </si>
  <si>
    <t>Número de meses do contrato</t>
  </si>
  <si>
    <t>DISCRIMINAÇÃO DOS SERVIÇOS (DADOS REFERENTES À CONTRATAÇÃO)</t>
  </si>
  <si>
    <t>Data de apresentação da proposta (dia/mês/ano)</t>
  </si>
  <si>
    <t>Município/UF</t>
  </si>
  <si>
    <t>Ano do Acordo, Convenção ou Dissídio coletivo</t>
  </si>
  <si>
    <t>Número de meses de execução contratual</t>
  </si>
  <si>
    <t>12</t>
  </si>
  <si>
    <t>IDENTIFICAÇÃO DO SERVIÇO</t>
  </si>
  <si>
    <t>Unidade
 de 
Medida</t>
  </si>
  <si>
    <t xml:space="preserve">Quantidade total a contratar (Em função da unidade de medida) </t>
  </si>
  <si>
    <t>posto</t>
  </si>
  <si>
    <t>TOTAL DE POSTOS</t>
  </si>
  <si>
    <t>Nota 1: Esta tabela poderá ser adaptada às características da empresa a ofertar o serviço, de acordo com a sua conveniência e oprtunidade, ressalvados as rubricas que obedecem aos normativos legais.</t>
  </si>
  <si>
    <t xml:space="preserve">Tipo de serviço:                                                                               </t>
  </si>
  <si>
    <t>1 - MÓDULOS</t>
  </si>
  <si>
    <t>MÃO DE OBRA VINCULADA A EXECUÇÃO CONTRATUAL</t>
  </si>
  <si>
    <t>Vigilância Armada</t>
  </si>
  <si>
    <t>Classificação Brasileira de Ocupações (CBO)</t>
  </si>
  <si>
    <t>Salário Normativo da Categoria</t>
  </si>
  <si>
    <t>Categoria Profissional (vinculada a execução contratual)</t>
  </si>
  <si>
    <t>Data-Base da Categoria (dia/mês/ano)</t>
  </si>
  <si>
    <t>Vigilante</t>
  </si>
  <si>
    <r>
      <t xml:space="preserve">PLANILHA DE CUSTOS E FORMAÇÃO DE PREÇOS </t>
    </r>
    <r>
      <rPr>
        <b/>
        <sz val="10"/>
        <color indexed="20"/>
        <rFont val="Verdana"/>
        <family val="2"/>
      </rPr>
      <t xml:space="preserve"> </t>
    </r>
  </si>
  <si>
    <t>Nota 1:  Deverá ser elaborado um quadro para cada tipo de serviço.
Nota 2: A planilha será calculada considerando o valor mensal do empregado</t>
  </si>
  <si>
    <t>Nota1:  O Módulo 1 refere-se ao valor mensal devido ao empregado pela prestação do serviço no período de 12 meses.
Nota 2:  Para o empregado que labora jornada de 12x36, em caso de não concessão ou concessão parcial do intervalo intrajornada (§ 4º do art. 71 da CLT), o valor a ser pago será inserido na remuneração utilizando a alínea “G”.</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</si>
  <si>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</si>
  <si>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 o Módulo 3, o Módulo 4 e o Módulo 6.</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</si>
  <si>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</si>
  <si>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Nota 1: Os itens que contemplam o módulo 4 se referem ao custo dos dias trabalhados pelo repositor/substituto que por ventura venha cobrir o empregado nos casos de Ausências Legais (Submódulo 4.1) e/ou na Intrajornada (Submódulo 4.2) a depender da prestação do serviço.
Nota 2: Haverá a incidência do Submódulo 2.2 sobre esse módulo.</t>
  </si>
  <si>
    <t xml:space="preserve">        C.1 - Tributos Federais </t>
  </si>
  <si>
    <t>Valor Total</t>
  </si>
  <si>
    <t>TOTAL UNIFORME DO POSTO</t>
  </si>
  <si>
    <t>Total do Conjunto</t>
  </si>
  <si>
    <t>Brasília - DF</t>
  </si>
  <si>
    <t>VALOR UNITÁRIO DO POSTO</t>
  </si>
  <si>
    <t>VALOR MENSAL DOS SERVIÇOS</t>
  </si>
  <si>
    <t xml:space="preserve">    2.2 - GPS, FGTS e outras contribuições</t>
  </si>
  <si>
    <t>Peças</t>
  </si>
  <si>
    <t>Descrição</t>
  </si>
  <si>
    <t>Qtde</t>
  </si>
  <si>
    <t>Valor Unitário</t>
  </si>
  <si>
    <t>5173-30</t>
  </si>
  <si>
    <t xml:space="preserve">    C - Multa do FGTS sobre aviso prévio indenizado</t>
  </si>
  <si>
    <t xml:space="preserve">    D - Aviso Prévio Trabalhado</t>
  </si>
  <si>
    <t xml:space="preserve">    E - Incidência dos encargos do submódulo 2.2 sobre o Aviso Prévio Trabalhado</t>
  </si>
  <si>
    <t xml:space="preserve">    F - Multa do FGTS e contribuição social sobre o Aviso Prévio Trabalhado e Indenizado</t>
  </si>
  <si>
    <t>DECLARAÇÕES:</t>
  </si>
  <si>
    <t>DADOS DA EMPRESA:</t>
  </si>
  <si>
    <t xml:space="preserve">DADOS BANCÁRIOS: </t>
  </si>
  <si>
    <t>2.1 - 13º Salário</t>
  </si>
  <si>
    <t>Subtotal</t>
  </si>
  <si>
    <t>anual</t>
  </si>
  <si>
    <t>Valor Anual do Serviço</t>
  </si>
  <si>
    <t>Valor Total para 12 meses</t>
  </si>
  <si>
    <t>DADOS DO REPRESENTANTE LEGAL PARA ASSINATURA DO CONTRATO:</t>
  </si>
  <si>
    <r>
      <t xml:space="preserve">CNPJ: </t>
    </r>
    <r>
      <rPr>
        <sz val="12"/>
        <rFont val="Arial Narrow"/>
        <family val="2"/>
      </rPr>
      <t>11.349.160/0001-67</t>
    </r>
  </si>
  <si>
    <r>
      <t xml:space="preserve">BANCO DO BRASIL S/A             AGÊNCIA: </t>
    </r>
    <r>
      <rPr>
        <sz val="12"/>
        <rFont val="Arial Narrow"/>
        <family val="2"/>
      </rPr>
      <t xml:space="preserve">3599-8 </t>
    </r>
    <r>
      <rPr>
        <b/>
        <sz val="12"/>
        <rFont val="Arial Narrow"/>
        <family val="2"/>
      </rPr>
      <t xml:space="preserve">            CONTA-CORRENTE: </t>
    </r>
    <r>
      <rPr>
        <sz val="12"/>
        <rFont val="Arial Narrow"/>
        <family val="2"/>
      </rPr>
      <t>222.658-8</t>
    </r>
  </si>
  <si>
    <r>
      <t xml:space="preserve">ESTADO CIVIL: </t>
    </r>
    <r>
      <rPr>
        <sz val="12"/>
        <rFont val="Arial Narrow"/>
        <family val="2"/>
      </rPr>
      <t>CASADO</t>
    </r>
  </si>
  <si>
    <r>
      <t xml:space="preserve">NATURALIDADE: </t>
    </r>
    <r>
      <rPr>
        <sz val="12"/>
        <rFont val="Arial Narrow"/>
        <family val="2"/>
      </rPr>
      <t>BRASÍLIA</t>
    </r>
  </si>
  <si>
    <r>
      <t xml:space="preserve">RAZÃO SOCIAL: </t>
    </r>
    <r>
      <rPr>
        <sz val="12"/>
        <rFont val="Arial Narrow"/>
        <family val="2"/>
      </rPr>
      <t>VIPPIM VIGILÂNCIA E SEGURANÇA LTDA</t>
    </r>
  </si>
  <si>
    <t>Valor anual</t>
  </si>
  <si>
    <t>Qtde de Postos</t>
  </si>
  <si>
    <t>VALOR UNITÁRIO DO HOMEM</t>
  </si>
  <si>
    <t>ESTIMADO</t>
  </si>
  <si>
    <r>
      <t>2)</t>
    </r>
    <r>
      <rPr>
        <sz val="12"/>
        <rFont val="Arial Narrow"/>
        <family val="2"/>
      </rPr>
      <t xml:space="preserve"> Os preços propostos foram cotados conforme salários e benefícios previstos na Convenção Coletiva de Trabalho do SINDESV-DF e SINDESP-DF, cuja vigência da data base é de 01/01/2020 à 31/12/2020.</t>
    </r>
  </si>
  <si>
    <t>2020</t>
  </si>
  <si>
    <t xml:space="preserve">    D - Outros</t>
  </si>
  <si>
    <t xml:space="preserve">    C - Demais Equipamentos</t>
  </si>
  <si>
    <t xml:space="preserve">    F - Substituto na Cobertura de outras Ausências (especificar)</t>
  </si>
  <si>
    <t>Submodulo 4.1 - Substituo na Cobertura de Ausências Legais</t>
  </si>
  <si>
    <t xml:space="preserve">    A – Substituto na cobertura de Férias</t>
  </si>
  <si>
    <t xml:space="preserve">    B – Substituto na cobertura de Ausências legais</t>
  </si>
  <si>
    <t xml:space="preserve">    C - Substituto na Cobertura de Licença paternidade </t>
  </si>
  <si>
    <r>
      <t xml:space="preserve">    </t>
    </r>
    <r>
      <rPr>
        <sz val="10"/>
        <color indexed="8"/>
        <rFont val="Verdana"/>
        <family val="2"/>
      </rPr>
      <t>D - Substituto na Cobertuta de Ausência por Acidente de Trabalho</t>
    </r>
  </si>
  <si>
    <t xml:space="preserve">    E - Substituto na cobertutra de Afastamento Maternidade</t>
  </si>
  <si>
    <t xml:space="preserve">    F - Substituto na Cobertura de outras ausências</t>
  </si>
  <si>
    <t>Submodulo 4.1 - Substituto na cobertura de Ausências Legais</t>
  </si>
  <si>
    <t>Capa de chuva</t>
  </si>
  <si>
    <r>
      <t xml:space="preserve">    C - Assistência médica e familiar </t>
    </r>
    <r>
      <rPr>
        <b/>
        <sz val="10"/>
        <color rgb="FFFF0000"/>
        <rFont val="Verdana"/>
        <family val="2"/>
      </rPr>
      <t>(</t>
    </r>
    <r>
      <rPr>
        <b/>
        <sz val="7"/>
        <color rgb="FFFF0000"/>
        <rFont val="Verdana"/>
        <family val="2"/>
      </rPr>
      <t>Pareceres n° 15/2014/CPLC/DEPCO NSU/PGF/AGU, 12/2016/CPLC/DEPCONSU/PGF/AGU e nº 04/2017/CPLC/PGF/AGU e no Acórdão TCU nº 1033/2015 - Plenário)</t>
    </r>
  </si>
  <si>
    <r>
      <t xml:space="preserve">    D - Assistência Odontológica </t>
    </r>
    <r>
      <rPr>
        <b/>
        <sz val="7"/>
        <color rgb="FFFF0000"/>
        <rFont val="Verdana"/>
        <family val="2"/>
      </rPr>
      <t>(Pareceres n° 15/2014/CPLC/DEPCO NSU/PGF/AGU, 12/2016/CPLC/DEPCONSU/PGF/AGU e nº 04/2017/CPLC/PGF/AGU e no Acórdão TCU nº 1033/2015 - Plenário)</t>
    </r>
  </si>
  <si>
    <r>
      <t xml:space="preserve">    E - Fundo de Indenização decorrente de aposentadoria</t>
    </r>
    <r>
      <rPr>
        <b/>
        <sz val="7"/>
        <color rgb="FFFF0000"/>
        <rFont val="Verdana"/>
        <family val="2"/>
      </rPr>
      <t xml:space="preserve"> (Pareceres n° 15/2014/CPLC/DEPCO NSU/PGF/AGU, 12/2016/CPLC/DEPCONSU/PGF/AGU e nº 04/2017/CPLC/PGF/AGU e no Acórdão TCU nº 1033/2015 - Plenário)</t>
    </r>
  </si>
  <si>
    <r>
      <t xml:space="preserve">    A - Transporte </t>
    </r>
    <r>
      <rPr>
        <b/>
        <sz val="10"/>
        <color rgb="FFFF0000"/>
        <rFont val="Verdana"/>
        <family val="2"/>
      </rPr>
      <t>(R$ 5,50 * 2 *15) - (6% do salário)</t>
    </r>
  </si>
  <si>
    <t>Grupo</t>
  </si>
  <si>
    <t>Catser</t>
  </si>
  <si>
    <t>Qtde de Profissionais</t>
  </si>
  <si>
    <t xml:space="preserve">    D - Adicional noturno </t>
  </si>
  <si>
    <r>
      <t xml:space="preserve">    E - Hora noturna adicional </t>
    </r>
    <r>
      <rPr>
        <b/>
        <i/>
        <sz val="10"/>
        <color rgb="FFFF0000"/>
        <rFont val="Verdana"/>
        <family val="2"/>
      </rPr>
      <t xml:space="preserve"> </t>
    </r>
  </si>
  <si>
    <r>
      <t xml:space="preserve">    B.1 - Desconto PAT 2% </t>
    </r>
    <r>
      <rPr>
        <b/>
        <sz val="10"/>
        <color rgb="FFFF0000"/>
        <rFont val="Verdana"/>
        <family val="2"/>
      </rPr>
      <t xml:space="preserve"> (Cláusula 12a. CCT - parág. 2o.)</t>
    </r>
  </si>
  <si>
    <r>
      <t xml:space="preserve">    B - Auxílio-Refeição/Alimentação </t>
    </r>
    <r>
      <rPr>
        <b/>
        <sz val="10"/>
        <color rgb="FFFF0000"/>
        <rFont val="Verdana"/>
        <family val="2"/>
      </rPr>
      <t>(R$ 37,50 *22)</t>
    </r>
  </si>
  <si>
    <r>
      <t>4)</t>
    </r>
    <r>
      <rPr>
        <sz val="12"/>
        <rFont val="Arial Narrow"/>
        <family val="2"/>
      </rPr>
      <t xml:space="preserve"> O Regime de Tributação desta empresa é o Lucro Real.</t>
    </r>
  </si>
  <si>
    <r>
      <t>5)</t>
    </r>
    <r>
      <rPr>
        <sz val="12"/>
        <rFont val="Arial Narrow"/>
        <family val="2"/>
      </rPr>
      <t xml:space="preserve"> que tem pleno conhecimento das condições necessárias para a prestação de serviços objeto da licitação.</t>
    </r>
  </si>
  <si>
    <r>
      <t xml:space="preserve">    E - Seguro de vida   </t>
    </r>
    <r>
      <rPr>
        <b/>
        <sz val="7"/>
        <color rgb="FFFF0000"/>
        <rFont val="Verdana"/>
        <family val="2"/>
      </rPr>
      <t>(Pareceres n° 15/2014/CPLC/DEPCO NSU/PGF/AGU, 12/2016/CPLC/DEPCONSU/PGF/AGU e nº 04/2017/CPLC/PGF/AGU e no Acórdão TCU nº 1033/2015 - Plenário)</t>
    </r>
  </si>
  <si>
    <r>
      <t>1)</t>
    </r>
    <r>
      <rPr>
        <sz val="12"/>
        <rFont val="Arial Narrow"/>
        <family val="2"/>
      </rPr>
      <t xml:space="preserve"> No preço proposto estão estão inclusos todos os custos operacionais, encargos previdenciários, trabalhistas, tributários, comerciais e quaisquer outros que incidam direta ou indiretamente na prestação dos serviços, apurados mediante o preenchimento do modelo de Planilha de Custos e Formação de Preços, conforme anexo deste Edital.</t>
    </r>
  </si>
  <si>
    <t xml:space="preserve">            VIPPIM Segurança e Vigilância LTDA</t>
  </si>
  <si>
    <t>Posto de Vigilância - 12 horas diurnas, de segunda-feira a domingo, em turnos de 12x36 horas - Armado</t>
  </si>
  <si>
    <t>Posto de Vigilância - 12 horas noturnas, de segunda-feira a domingo, em turnos de 12x36 horas - Armado</t>
  </si>
  <si>
    <t xml:space="preserve">    E - Hora noturna adicional </t>
  </si>
  <si>
    <r>
      <t xml:space="preserve">    A - Transporte </t>
    </r>
    <r>
      <rPr>
        <b/>
        <sz val="10"/>
        <color rgb="FFFF0000"/>
        <rFont val="Verdana"/>
        <family val="2"/>
      </rPr>
      <t>(R$ 5,50 * 2 *22) - (6% do salário)</t>
    </r>
  </si>
  <si>
    <t>Valor unitário</t>
  </si>
  <si>
    <t>Ao</t>
  </si>
  <si>
    <r>
      <t xml:space="preserve">TELEFONE: </t>
    </r>
    <r>
      <rPr>
        <sz val="12"/>
        <rFont val="Arial Narrow"/>
        <family val="2"/>
      </rPr>
      <t>61-3386-8878</t>
    </r>
    <r>
      <rPr>
        <b/>
        <sz val="12"/>
        <rFont val="Arial Narrow"/>
        <family val="2"/>
      </rPr>
      <t xml:space="preserve"> -                                       EMAIL: </t>
    </r>
    <r>
      <rPr>
        <sz val="12"/>
        <rFont val="Arial Narrow"/>
        <family val="2"/>
      </rPr>
      <t>vippimezpcomercial@gmail.com</t>
    </r>
  </si>
  <si>
    <r>
      <t xml:space="preserve">ENDEREÇO: </t>
    </r>
    <r>
      <rPr>
        <sz val="12"/>
        <rFont val="Arial Narrow"/>
        <family val="2"/>
      </rPr>
      <t>CH 53 LOTE 06 - TAGUATINGA</t>
    </r>
  </si>
  <si>
    <r>
      <t xml:space="preserve">CEP: </t>
    </r>
    <r>
      <rPr>
        <sz val="12"/>
        <rFont val="Arial Narrow"/>
        <family val="2"/>
      </rPr>
      <t>72.001-500</t>
    </r>
  </si>
  <si>
    <r>
      <rPr>
        <b/>
        <sz val="12"/>
        <rFont val="Arial Narrow"/>
        <family val="2"/>
      </rPr>
      <t xml:space="preserve">CIDADE/UF: </t>
    </r>
    <r>
      <rPr>
        <sz val="12"/>
        <rFont val="Arial Narrow"/>
        <family val="2"/>
      </rPr>
      <t>TAGUATINGA - BRASÍLIA - DF</t>
    </r>
  </si>
  <si>
    <r>
      <rPr>
        <b/>
        <sz val="12"/>
        <rFont val="Arial Narrow"/>
        <family val="2"/>
      </rPr>
      <t>CARGO/FUNÇÃO</t>
    </r>
    <r>
      <rPr>
        <sz val="12"/>
        <rFont val="Arial Narrow"/>
        <family val="2"/>
      </rPr>
      <t>: SÓCIO</t>
    </r>
  </si>
  <si>
    <r>
      <t xml:space="preserve">CPF: </t>
    </r>
    <r>
      <rPr>
        <sz val="12"/>
        <rFont val="Arial Narrow"/>
        <family val="2"/>
      </rPr>
      <t>256.203.981-53</t>
    </r>
  </si>
  <si>
    <r>
      <rPr>
        <b/>
        <sz val="12"/>
        <rFont val="Arial Narrow"/>
        <family val="2"/>
      </rPr>
      <t>RG:</t>
    </r>
    <r>
      <rPr>
        <sz val="12"/>
        <rFont val="Arial Narrow"/>
        <family val="2"/>
      </rPr>
      <t xml:space="preserve"> 623.703 - SSP-DF</t>
    </r>
  </si>
  <si>
    <r>
      <rPr>
        <b/>
        <sz val="12"/>
        <rFont val="Arial Narrow"/>
        <family val="2"/>
      </rPr>
      <t xml:space="preserve">NACIONALIDADE: </t>
    </r>
    <r>
      <rPr>
        <sz val="12"/>
        <rFont val="Arial Narrow"/>
        <family val="2"/>
      </rPr>
      <t>BRASILEIRO</t>
    </r>
  </si>
  <si>
    <t>Posto de Vigilância Desarmada 44hs Semanais</t>
  </si>
  <si>
    <t>Nº do processo: 08084.002558/2020-19</t>
  </si>
  <si>
    <t>Licitação nº: PE 13/2020</t>
  </si>
  <si>
    <t xml:space="preserve">    B - Equipamentos</t>
  </si>
  <si>
    <t>Estimado</t>
  </si>
  <si>
    <r>
      <t xml:space="preserve">NOME: </t>
    </r>
    <r>
      <rPr>
        <sz val="12"/>
        <rFont val="Arial Narrow"/>
        <family val="2"/>
      </rPr>
      <t>Eurípedes Gonçalves</t>
    </r>
  </si>
  <si>
    <r>
      <t xml:space="preserve">ENDEREÇO: </t>
    </r>
    <r>
      <rPr>
        <sz val="12"/>
        <rFont val="Arial Narrow"/>
        <family val="2"/>
      </rPr>
      <t>RUA 05 LOTE 23 - Loja 02 - PÓLO DE MODAS - GUARÁ - DF - CEP: 71.070-505</t>
    </r>
  </si>
  <si>
    <t xml:space="preserve">   C - Incidência do submódulo 2.2 sobre 2.1</t>
  </si>
  <si>
    <t xml:space="preserve">    E - Incidência Submódulo 2.2 sobre Aviso Prévio Trabalhado</t>
  </si>
  <si>
    <r>
      <t xml:space="preserve">    B – Substituto na Cobertura de Ausências legais</t>
    </r>
    <r>
      <rPr>
        <i/>
        <sz val="10"/>
        <rFont val="Times New Roman"/>
        <family val="1"/>
      </rPr>
      <t xml:space="preserve"> </t>
    </r>
    <r>
      <rPr>
        <b/>
        <i/>
        <sz val="8"/>
        <rFont val="Times New Roman"/>
        <family val="1"/>
      </rPr>
      <t xml:space="preserve">(Ausências ao trabalho asseguradas ao empregado pelo art. 473 da CLT (morte de cônjuge, ascendente, descendente; casamento; nascimento de filho; doação de sangue; alistamento eleitoral; serviço militar; comparecer a juízo). </t>
    </r>
    <r>
      <rPr>
        <b/>
        <i/>
        <sz val="8"/>
        <color rgb="FFFF0000"/>
        <rFont val="Times New Roman"/>
        <family val="1"/>
      </rPr>
      <t xml:space="preserve">MEMÓRIA DE CÁLCULO: (2,96d/30d/12m)x3%x100 = 0,02% </t>
    </r>
  </si>
  <si>
    <t>ITEM</t>
  </si>
  <si>
    <t>Total do Conjunto por vigilante</t>
  </si>
  <si>
    <t>Departamento de Polícia Federal</t>
  </si>
  <si>
    <t>PREGÃO ELETRÔNICO Nº 18/2020</t>
  </si>
  <si>
    <t>Apresentamos a Vossa Senhoria nossa proposta para a prestação de prestação dos serviços continuados de VIGILÂNCIA ARMADA diurna e noturna a serem executados nas dependências do Edifício Sede da Polícia Federal em Brasília - DF, na CAOP/DIREX/PF localizado no Aeroporto Internacional de Brasília-DF e para os prédios localizados no Sudoeste para uso da DIP/PF, DCPQ e CGCSP, conforme condições estabelecidas no edital, conforme a seguir:</t>
  </si>
  <si>
    <r>
      <t>3)</t>
    </r>
    <r>
      <rPr>
        <sz val="12"/>
        <rFont val="Arial Narrow"/>
        <family val="2"/>
      </rPr>
      <t xml:space="preserve"> Prazo de validade da proposta 60 (sessenta) dias a contar da data de sua apresentação.</t>
    </r>
  </si>
  <si>
    <t>(Duzentos e onze mil, quatrocentos e noventa e um reais e setenta e setenta e dois centavos).</t>
  </si>
  <si>
    <t>(Dois milhões, quinhentos e trinta e sete mil, novecentos reais e sessenta e quatro centavos).</t>
  </si>
  <si>
    <t>Assim sendo, o valor total de nossa proposta é de:</t>
  </si>
  <si>
    <t>Local</t>
  </si>
  <si>
    <t>Vigilância armada noturna, 12 x 36 horas, de segunda a domingo</t>
  </si>
  <si>
    <t>Vigilância Desarmada</t>
  </si>
  <si>
    <t xml:space="preserve">    C - Assistência médica e familiar</t>
  </si>
  <si>
    <t xml:space="preserve">    D - Assistência Odontológica</t>
  </si>
  <si>
    <t xml:space="preserve">    E - Fundo de Indenização decorrente de aposentadoria</t>
  </si>
  <si>
    <t xml:space="preserve">    E - Seguro de vida  </t>
  </si>
  <si>
    <r>
      <t xml:space="preserve">    E - Fundo de Indenização decorrente de aposentadoria</t>
    </r>
    <r>
      <rPr>
        <b/>
        <sz val="7"/>
        <color rgb="FFFF0000"/>
        <rFont val="Verdana"/>
        <family val="2"/>
      </rPr>
      <t xml:space="preserve"> </t>
    </r>
  </si>
  <si>
    <t xml:space="preserve">    E - Seguro de vida </t>
  </si>
  <si>
    <t xml:space="preserve">    E - Seguro de vida</t>
  </si>
  <si>
    <r>
      <t xml:space="preserve">    C - Assistência médica e familiar </t>
    </r>
    <r>
      <rPr>
        <b/>
        <sz val="10"/>
        <color rgb="FFFF0000"/>
        <rFont val="Verdana"/>
        <family val="2"/>
      </rPr>
      <t/>
    </r>
  </si>
  <si>
    <t>semestral</t>
  </si>
  <si>
    <t>Posto</t>
  </si>
  <si>
    <t>TODOS OS POSTOS</t>
  </si>
  <si>
    <t>SEDE II</t>
  </si>
  <si>
    <t>11a. Circunscrição Judiciária Militar</t>
  </si>
  <si>
    <t>PREGÃO ELETRÔNICO Nº 07/2020</t>
  </si>
  <si>
    <t>Apresentamos a Vossa Senhoria nossa proposta para a prestaçãoprestação dos serviços de vigilância armada e desarmada diurna e noturna através de 09 (nove) postos de vigilância, sem supervisão, pelo prazo de 12 (doze) meses, a serem executados nas instalações do Edifício-Sede das Auditorias da 11ª Circunscrição Judiciária Militar, localizado na cidade de Brasília/DF, de acordo com as especificações constantes no Termo de Referência nº 033/2020-DIRF11ª CJM e seus Anexos (1856289),  conforme a seguir:</t>
  </si>
  <si>
    <t>Vigilância armada diurna, 12 x 36 horas, de segunda a domingo.</t>
  </si>
  <si>
    <t>Vigilância armada diurna, de 44hs semanais, de segunda a sexta-feira</t>
  </si>
  <si>
    <t>Vigilância desarmada diurna, de 44hs semanais, de segunda a sexta-feira</t>
  </si>
  <si>
    <t>Posto de Vigilância  Diurna Armada 12x36hs - 2a. a Domingo</t>
  </si>
  <si>
    <t>Posto de Vigilância Armada Noturna 12x36hs - 2a. a Domingo</t>
  </si>
  <si>
    <t>Posto de Vigilância Armada diurna 44hs = 2a. a Sexta Feira</t>
  </si>
  <si>
    <t>Posto de Vigilância Desarmada DIURNA 44hs - 2a. a Sexta Feira</t>
  </si>
  <si>
    <r>
      <t>1)</t>
    </r>
    <r>
      <rPr>
        <sz val="12"/>
        <rFont val="Arial Narrow"/>
        <family val="2"/>
      </rPr>
      <t xml:space="preserve"> Prazo de prestação dos serviços de 12 meses, podendo ser prorrogado nos termos da legislação vigente.</t>
    </r>
  </si>
  <si>
    <r>
      <t>3)</t>
    </r>
    <r>
      <rPr>
        <sz val="12"/>
        <rFont val="Arial Narrow"/>
        <family val="2"/>
      </rPr>
      <t xml:space="preserve"> Os preços propostos foram cotados conforme salários e benefícios previstos na Convenção Coletiva de Trabalho do SINDESV-DF e SINDESP-DF, cuja vigência da data base é de 01/01/2020 à 31/12/2020.</t>
    </r>
  </si>
  <si>
    <r>
      <t>4)</t>
    </r>
    <r>
      <rPr>
        <sz val="12"/>
        <rFont val="Arial Narrow"/>
        <family val="2"/>
      </rPr>
      <t xml:space="preserve"> Prazo de validade da proposta 90 dias, contados do seu recebimento no sistema eletrônico..</t>
    </r>
  </si>
  <si>
    <r>
      <t>5)</t>
    </r>
    <r>
      <rPr>
        <sz val="12"/>
        <rFont val="Arial Narrow"/>
        <family val="2"/>
      </rPr>
      <t xml:space="preserve"> Declaramos que estamos de pleno acordo com todas as obrigações e responsabilidades, bem como todas as condições estabelecidas no Edital e seus Anexos.</t>
    </r>
  </si>
  <si>
    <r>
      <t>6)</t>
    </r>
    <r>
      <rPr>
        <sz val="12"/>
        <rFont val="Arial Narrow"/>
        <family val="2"/>
      </rPr>
      <t xml:space="preserve"> Nos preços cotados estão incluídas todas as despesas que, direta ou indiretamente, fazem parte do presente objeto, tais como gastos da empresa com suporte técnico e administrativo, impostos, seguros, taxas, ou quaisquer outros que possam incidir sobre gastos da empresa, sem quaisquer acréscimos em virtude de expectativa inflacionária e deduzidos os descontos eventualmente concedidos.</t>
    </r>
  </si>
  <si>
    <r>
      <t>7)</t>
    </r>
    <r>
      <rPr>
        <sz val="12"/>
        <rFont val="Arial Narrow"/>
        <family val="2"/>
      </rPr>
      <t xml:space="preserve"> O Regime de tributação é o Lucro Real.</t>
    </r>
  </si>
  <si>
    <t>MEMÓRIA DE CÁLCULOS UNIFORMES</t>
  </si>
  <si>
    <t>Sapato</t>
  </si>
  <si>
    <t>Calça/Saia</t>
  </si>
  <si>
    <t>Camisa</t>
  </si>
  <si>
    <t>Jaqueta</t>
  </si>
  <si>
    <t>Gravata</t>
  </si>
  <si>
    <t>Boné ou quepe com emblema</t>
  </si>
  <si>
    <t>Meias</t>
  </si>
  <si>
    <t>Qtde Anual a ser fornecida</t>
  </si>
  <si>
    <t>Vida útil estimada (meses)</t>
  </si>
  <si>
    <t>Custo unitário</t>
  </si>
  <si>
    <t>Custo anual</t>
  </si>
  <si>
    <t>Custo Mensal</t>
  </si>
  <si>
    <t>Lanterna (incluindo as pilhas) de tipo utilitário, resistente à água e a pequenas quedas, de dimensões e potência adequadas à execução do serviço em cada posto.</t>
  </si>
  <si>
    <t>Cassetete tipo tonfa de polímero ou material similar (vedado o de madeira), em dimensões adequadas ao posto</t>
  </si>
  <si>
    <t>Porta cassetete tipo tonfa</t>
  </si>
  <si>
    <t>Apito de metal, com cordão.</t>
  </si>
  <si>
    <t>Distintivo tipo broche.</t>
  </si>
  <si>
    <t>Livro de Ocorrência</t>
  </si>
  <si>
    <t>Relógio de ponto biométrico</t>
  </si>
  <si>
    <t>EQUIPAMENTOS DE USO COMUM/PESSOAL</t>
  </si>
  <si>
    <t>EQUIPAMENTOS DOS VIGILANTES ARMADOS</t>
  </si>
  <si>
    <t>Revólver calibre 38</t>
  </si>
  <si>
    <t>Cinto e baleiro</t>
  </si>
  <si>
    <t>Capa para colete</t>
  </si>
  <si>
    <t>Coldre para revólver cal. 38,
interno, de cintura, com
presilha ou passador de cinta,
em cordura</t>
  </si>
  <si>
    <t>Munição calibre 38 para duas
cargas;</t>
  </si>
  <si>
    <t>Colete balístico</t>
  </si>
  <si>
    <t>Assistência Médica</t>
  </si>
  <si>
    <t>R$ 140,00 (cento e quarenta reais) mensais sobre cada profissional, conforme Cláusula Décima Quarta da CCT 2020/2020 do SINDESV-DF (Doc. SEI nº 1856257 ).</t>
  </si>
  <si>
    <t>Assistência Odontológica</t>
  </si>
  <si>
    <t>R$ 9,00 (nove reais) mensais por profissional, conforme Cláusula Décima Quinta da CCT
2020/2020 do SINDESV-DF (Doc. SEI nº 1856257 ).</t>
  </si>
  <si>
    <t>Seguro de vida</t>
  </si>
  <si>
    <t>Auxílio Doença/Invalidez</t>
  </si>
  <si>
    <t>A) Transporte:</t>
  </si>
  <si>
    <t>MÓDULO 1 - Composição da REMUNERAÇÃO</t>
  </si>
  <si>
    <t>F) Adicional de hora Extra no Feriado Trabalhado:</t>
  </si>
  <si>
    <t>Submódulo 2.2 - Encargos Previdenciários (GPS), Fundo de Garantia por Tempo de Serviço (FGTS) e outras contribuições</t>
  </si>
  <si>
    <t>Submódulo 2.3 – Benefícios Mensais e Diários</t>
  </si>
  <si>
    <t>Assistência Médica:</t>
  </si>
  <si>
    <t>Assistência Odontológica:</t>
  </si>
  <si>
    <t>Seguro de vida:</t>
  </si>
  <si>
    <t>R$ 9,00 (nove reais) mensais por profissional, conforme Cláusula Décima Quinta da CCT 2020/2020 do SINDESV-DF (Doc. SEI nº 1856257 ).</t>
  </si>
  <si>
    <t>R$ 14,00 (quatorze reais) mensais por profissional, conforme Cláusula Décima Sétima da CCT 2020/2020 do SINDESV-DF (Doc. SEI nº 1856257 ).</t>
  </si>
  <si>
    <t>Auxílio Doença/Invalidez:</t>
  </si>
  <si>
    <t>E) Auxílio Doença /  Invalidez:</t>
  </si>
  <si>
    <t>A) Uniforme:</t>
  </si>
  <si>
    <t>MÓDULO 5: Insumos Diversos</t>
  </si>
  <si>
    <t>B) Materiais:</t>
  </si>
  <si>
    <t>B) Equipamentos de Uso Comum / Pessoal</t>
  </si>
  <si>
    <t>C) Equipamentos dos Vigilantes Armados</t>
  </si>
  <si>
    <t>Rádio transceptor portátil com  com canaleta de comunicação comum e reservada</t>
  </si>
  <si>
    <r>
      <rPr>
        <b/>
        <sz val="9.5"/>
        <rFont val="Calibri"/>
        <family val="2"/>
        <scheme val="minor"/>
      </rPr>
      <t xml:space="preserve">
</t>
    </r>
    <r>
      <rPr>
        <sz val="9.5"/>
        <rFont val="Calibri"/>
        <family val="2"/>
        <scheme val="minor"/>
      </rPr>
      <t>A) Salário Base:</t>
    </r>
    <r>
      <rPr>
        <b/>
        <sz val="9.5"/>
        <rFont val="Calibri"/>
        <family val="2"/>
        <scheme val="minor"/>
      </rPr>
      <t xml:space="preserve"> R$ 2.192,65 (Dois mil, cento e noventa e dois reais e sessenta e cinco centavos).
</t>
    </r>
    <r>
      <rPr>
        <sz val="9.5"/>
        <rFont val="Calibri"/>
        <family val="2"/>
        <scheme val="minor"/>
      </rPr>
      <t xml:space="preserve">Os  valores  dos  salários  da  categoria  envolvida  na  prestação  dos  serviços  ora  licitados  estão  definidos  na CCT da Categoria, firmado entre o SEAC-DF e o SINDIBOMBEIROS-DF
</t>
    </r>
  </si>
  <si>
    <r>
      <t xml:space="preserve">B) Adicional de Periculosidade – 30% do salário base:  </t>
    </r>
    <r>
      <rPr>
        <b/>
        <sz val="10"/>
        <color rgb="FF000000"/>
        <rFont val="Calibri"/>
        <family val="2"/>
        <scheme val="minor"/>
      </rPr>
      <t>R$ 657,80</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</si>
  <si>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193 e §§; </t>
    </r>
    <r>
      <rPr>
        <u/>
        <sz val="9.5"/>
        <color rgb="FF0000ED"/>
        <rFont val="Calibri"/>
        <family val="2"/>
        <scheme val="minor"/>
      </rPr>
      <t>CF/88</t>
    </r>
    <r>
      <rPr>
        <sz val="9.5"/>
        <rFont val="Calibri"/>
        <family val="2"/>
        <scheme val="minor"/>
      </rPr>
      <t>: art. 7º, XXIII</t>
    </r>
  </si>
  <si>
    <r>
      <t xml:space="preserve">C) Adicional de Insalubridade: </t>
    </r>
    <r>
      <rPr>
        <b/>
        <sz val="10"/>
        <color rgb="FF000000"/>
        <rFont val="Calibri"/>
        <family val="2"/>
        <scheme val="minor"/>
      </rPr>
      <t>Não contempla</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</si>
  <si>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Mínimo  ou  Salário  Normativo  *  Adicional  de  Insalubridade  (10%,  20%, 40%)</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</si>
  <si>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189 e §§; </t>
    </r>
    <r>
      <rPr>
        <u/>
        <sz val="9.5"/>
        <color rgb="FF0000ED"/>
        <rFont val="Calibri"/>
        <family val="2"/>
        <scheme val="minor"/>
      </rPr>
      <t>CF/88</t>
    </r>
    <r>
      <rPr>
        <sz val="9.5"/>
        <rFont val="Calibri"/>
        <family val="2"/>
        <scheme val="minor"/>
      </rPr>
      <t xml:space="preserve">: art. 7º, XXIII
</t>
    </r>
    <r>
      <rPr>
        <b/>
        <sz val="9.5"/>
        <rFont val="Calibri"/>
        <family val="2"/>
        <scheme val="minor"/>
      </rPr>
      <t>D) Adicional Noturno – 20% do salário base:</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</si>
  <si>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73 e §§; </t>
    </r>
    <r>
      <rPr>
        <u/>
        <sz val="9.5"/>
        <color rgb="FF0000ED"/>
        <rFont val="Calibri"/>
        <family val="2"/>
        <scheme val="minor"/>
      </rPr>
      <t>CF/88</t>
    </r>
    <r>
      <rPr>
        <sz val="9.5"/>
        <rFont val="Calibri"/>
        <family val="2"/>
        <scheme val="minor"/>
      </rPr>
      <t xml:space="preserve">: art. 7º, IX
</t>
    </r>
  </si>
  <si>
    <r>
      <rPr>
        <u/>
        <sz val="9.5"/>
        <rFont val="Calibri"/>
        <family val="2"/>
        <scheme val="minor"/>
      </rPr>
      <t>Fundamenta</t>
    </r>
    <r>
      <rPr>
        <sz val="9.5"/>
        <rFont val="Calibri"/>
        <family val="2"/>
        <scheme val="minor"/>
      </rPr>
      <t>ç</t>
    </r>
    <r>
      <rPr>
        <u/>
        <sz val="9.5"/>
        <rFont val="Calibri"/>
        <family val="2"/>
        <scheme val="minor"/>
      </rPr>
      <t>ão Jurídica:</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</si>
  <si>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Adicional de Hora Noturna Reduzida) / Jornada Mensal) * (1 + Porcentagem da Hora Extra) * (Nº de Horas Extras) * (Dias trabalhados)</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</si>
  <si>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59, §1º; </t>
    </r>
    <r>
      <rPr>
        <u/>
        <sz val="9.5"/>
        <color rgb="FF0000ED"/>
        <rFont val="Calibri"/>
        <family val="2"/>
        <scheme val="minor"/>
      </rPr>
      <t>CF/88</t>
    </r>
    <r>
      <rPr>
        <sz val="9.5"/>
        <rFont val="Calibri"/>
        <family val="2"/>
        <scheme val="minor"/>
      </rPr>
      <t xml:space="preserve">: art. 7º, XVI
OBS: Somente deverá ser preenchido se houver expressa previsão no edital de licitação para jornada extraordinária. Por se tratar de custo variável somente integrará o valor mensal quando de sua ocorrência.
</t>
    </r>
    <r>
      <rPr>
        <b/>
        <sz val="9.5"/>
        <rFont val="Calibri"/>
        <family val="2"/>
        <scheme val="minor"/>
      </rPr>
      <t>G) Trabalho Feriado (Súmula 444 do TST):</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</si>
  <si>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Adicional de Hora Noturna Reduzida) / Jornada Mensal) * (Nº de Horas Trabalhadas no Feriado) * ((Número de feriados no Ano)/12/(Número de Trabalhadores no Posto)).</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</si>
  <si>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71, § 4º; Súmula nº </t>
    </r>
    <r>
      <rPr>
        <u/>
        <sz val="9.5"/>
        <color rgb="FF0000ED"/>
        <rFont val="Calibri"/>
        <family val="2"/>
        <scheme val="minor"/>
      </rPr>
      <t>444</t>
    </r>
    <r>
      <rPr>
        <sz val="9.5"/>
        <rFont val="Calibri"/>
        <family val="2"/>
        <scheme val="minor"/>
      </rPr>
      <t xml:space="preserve">, TST
</t>
    </r>
    <r>
      <rPr>
        <b/>
        <sz val="9.5"/>
        <rFont val="Calibri"/>
        <family val="2"/>
        <scheme val="minor"/>
      </rPr>
      <t>H) Repouso Semanal Remunerado</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</si>
  <si>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((Adicional Noturno + Adicional de Hora Noturna Reduzida + Trabalho Feriado) * (Número de Dias Não Úteis no Mês /Número de Dias Úteis no Mês)).</t>
    </r>
  </si>
  <si>
    <r>
      <rPr>
        <u/>
        <sz val="9.5"/>
        <rFont val="Calibri"/>
        <family val="2"/>
        <scheme val="minor"/>
      </rPr>
      <t>Fundamenta</t>
    </r>
    <r>
      <rPr>
        <sz val="9.5"/>
        <rFont val="Calibri"/>
        <family val="2"/>
        <scheme val="minor"/>
      </rPr>
      <t>ç</t>
    </r>
    <r>
      <rPr>
        <u/>
        <sz val="9.5"/>
        <rFont val="Calibri"/>
        <family val="2"/>
        <scheme val="minor"/>
      </rPr>
      <t xml:space="preserve">ão Jurídica:
</t>
    </r>
    <r>
      <rPr>
        <sz val="9.5"/>
        <rFont val="Calibri"/>
        <family val="2"/>
        <scheme val="minor"/>
      </rPr>
      <t xml:space="preserve">Orientação Jurisprudencial </t>
    </r>
    <r>
      <rPr>
        <u/>
        <sz val="9.5"/>
        <color rgb="FF0000ED"/>
        <rFont val="Calibri"/>
        <family val="2"/>
        <scheme val="minor"/>
      </rPr>
      <t>SDI 1/TST nº 394</t>
    </r>
  </si>
  <si>
    <t>MÓDULO 2
Encargos e Benefícios Anuais, Mensais e Diários.Submódulo 2.1 - 13º (décimo terceiro) Salário, Férias e Adicional de Férias</t>
  </si>
  <si>
    <t>Submódulo 2.1 – 13º Salário e Adicional de Férias.</t>
  </si>
  <si>
    <t>A</t>
  </si>
  <si>
    <t>13º SALÁRIO</t>
  </si>
  <si>
    <t>B</t>
  </si>
  <si>
    <t>ADICIONAL DE FÉRIAS</t>
  </si>
  <si>
    <t>C</t>
  </si>
  <si>
    <t>INCIDÊNCIA DO SUBMÓDULO 2.2.</t>
  </si>
  <si>
    <t>De  acordo  com  a  Nota  3  do  Submódulo  2.2  da  IN  05/2017, os    percentuais    do    referido    submódulo    incidem    sobre o Submódulo 2.1. (Redação dada pela Instrução Normativa nº 7, de 2018)</t>
  </si>
  <si>
    <t>Percentual exemplificativo, observar RAT ajustado do submódulo 2.2.</t>
  </si>
  <si>
    <t>Submódulo 2.2. Encargos Previdenciários e FGTS e outras</t>
  </si>
  <si>
    <t>INSS</t>
  </si>
  <si>
    <t>Conforme  o  artigo  22,  inciso  I,  da  Lei  8.212/91,  a  empresa custeia 20%</t>
  </si>
  <si>
    <t>SALÁRIO EDUCAÇÃO</t>
  </si>
  <si>
    <t>A prestadora de serviços contribui com 2,5%, por determinação do art. 15, da Lei nº 9.424/96; do art. 2º do Decreto nº 3.142/99; e art. 212, § 5º da CF.</t>
  </si>
  <si>
    <t>SEGURO ACIDENTE DE TRABALHO + FAP</t>
  </si>
  <si>
    <t>D</t>
  </si>
  <si>
    <t>SESI/SESC</t>
  </si>
  <si>
    <t>E</t>
  </si>
  <si>
    <t>SENAI/SENAC</t>
  </si>
  <si>
    <t>F</t>
  </si>
  <si>
    <t>SEBRAE</t>
  </si>
  <si>
    <t>O  empregador,  para  atender  à  Lei  nº  8.029/90,  contribui  com 0,6% sobre a folha de pagamento.</t>
  </si>
  <si>
    <t>G</t>
  </si>
  <si>
    <t>INCRA</t>
  </si>
  <si>
    <t>A empresa participa com 0,2%, para atendimento dos artigos 1º e 2º do Decreto-Lei nº 1.146/70.</t>
  </si>
  <si>
    <t>H</t>
  </si>
  <si>
    <t>FGTS</t>
  </si>
  <si>
    <t>O   depósito   voltou   a   ser   de   8%,   como   preconiza   a   Lei Complementar  110/2001.  O  tributo  está  previsto  no  art.  7º, Inciso  III,  da  Constituição  Federal,  tendo  sido  regulamentado pela Lei nº 8.030/90, artigo 15.</t>
  </si>
  <si>
    <t>------</t>
  </si>
  <si>
    <t>TRANSPORTE</t>
  </si>
  <si>
    <t>DESCRIÇÃO</t>
  </si>
  <si>
    <t>VALOR UNITÁRIO</t>
  </si>
  <si>
    <t>VALOR TOTAL</t>
  </si>
  <si>
    <t>44hs semanais</t>
  </si>
  <si>
    <t>Casa/Trabalho (1 vale de R$ 5,50)</t>
  </si>
  <si>
    <t>R$ 5,50</t>
  </si>
  <si>
    <t>R$ 115,50</t>
  </si>
  <si>
    <t>Trabalho/Casa (1 vale de R$ 5,50)</t>
  </si>
  <si>
    <t>R$ 231,00</t>
  </si>
  <si>
    <t>12X36</t>
  </si>
  <si>
    <t>R$ 82,50</t>
  </si>
  <si>
    <t>R$ 165,00</t>
  </si>
  <si>
    <t>B) Auxílio Alimentação:</t>
  </si>
  <si>
    <t>ALIMENTAÇÃO</t>
  </si>
  <si>
    <t>QTD</t>
  </si>
  <si>
    <r>
      <rPr>
        <b/>
        <sz val="8.5"/>
        <rFont val="Calibri"/>
        <family val="2"/>
        <scheme val="minor"/>
      </rPr>
      <t>DESCONTO 2%
Previsão CCT</t>
    </r>
  </si>
  <si>
    <t>VALOR FINAL</t>
  </si>
  <si>
    <r>
      <rPr>
        <sz val="9.5"/>
        <rFont val="Calibri"/>
        <family val="2"/>
        <scheme val="minor"/>
      </rPr>
      <t xml:space="preserve">Vale Alimentação
</t>
    </r>
    <r>
      <rPr>
        <b/>
        <sz val="9.5"/>
        <rFont val="Calibri"/>
        <family val="2"/>
        <scheme val="minor"/>
      </rPr>
      <t>12X36</t>
    </r>
  </si>
  <si>
    <t>R$ 37,50</t>
  </si>
  <si>
    <r>
      <rPr>
        <sz val="9.5"/>
        <rFont val="Calibri"/>
        <family val="2"/>
        <scheme val="minor"/>
      </rPr>
      <t xml:space="preserve">Vale Alimentação
</t>
    </r>
    <r>
      <rPr>
        <b/>
        <sz val="9.5"/>
        <rFont val="Calibri"/>
        <family val="2"/>
        <scheme val="minor"/>
      </rPr>
      <t>44hs semanais</t>
    </r>
  </si>
  <si>
    <t>C) Assistência Médica e Familiar</t>
  </si>
  <si>
    <r>
      <rPr>
        <b/>
        <sz val="10"/>
        <color rgb="FF000000"/>
        <rFont val="Calibri"/>
        <family val="2"/>
        <scheme val="minor"/>
      </rPr>
      <t xml:space="preserve">R$ 140,00 (cento e quarenta reais) </t>
    </r>
    <r>
      <rPr>
        <sz val="10"/>
        <color rgb="FF000000"/>
        <rFont val="Calibri"/>
        <family val="2"/>
        <scheme val="minor"/>
      </rPr>
      <t>mensais sobre cada profissional, conforme Cláusula Décima Quarta da CCT 2020/2020 do SINDESV-DF (Doc. SEI nº 1856257 ).</t>
    </r>
  </si>
  <si>
    <t>D) Assistência Odontológica</t>
  </si>
  <si>
    <t>F) Seguro de Vida:</t>
  </si>
  <si>
    <t>MÓDULO 3: Provisão para Rescisão:</t>
  </si>
  <si>
    <t>AVISO PRÉVIO INDENIZADO</t>
  </si>
  <si>
    <t>INCIDÊNCIA DO FGTS SOBRE O AVISO PRÉVIO INDENIZADO</t>
  </si>
  <si>
    <t>FGTS 8% x o item A do módulo 3.</t>
  </si>
  <si>
    <t>MULTA DO FGTS DO AVISO PRÉVIO INDENIZADO</t>
  </si>
  <si>
    <t>AVISO PRÉVIO TRABALHADO</t>
  </si>
  <si>
    <t>INCIDÊNCIA DO SUBMÓDULO 2.2 SOBRE O AVISO PRÉVIO TRABALHADO</t>
  </si>
  <si>
    <t>Total do Submódulo 2.2 x o item D do submódulo 3.</t>
  </si>
  <si>
    <r>
      <rPr>
        <b/>
        <sz val="9.5"/>
        <rFont val="Calibri"/>
        <family val="2"/>
        <scheme val="minor"/>
      </rPr>
      <t>MÓDULO 4 - Custo de Reposição do Profissional Ausente
Submódulo 4.1 – Substituto nas Ausências Legais:</t>
    </r>
  </si>
  <si>
    <t>Submódulo 4.1 – Substituto nas Ausências Legais</t>
  </si>
  <si>
    <t>SUBSTITUTO NA COBERTURA DE FÉRIAS</t>
  </si>
  <si>
    <r>
      <rPr>
        <sz val="9.5"/>
        <rFont val="Calibri"/>
        <family val="2"/>
        <scheme val="minor"/>
      </rPr>
      <t>SUBSTITUTO NA COBERTURA
DE AUSÊNCIAS LEGAIS</t>
    </r>
  </si>
  <si>
    <t>SUBSTITUTO NA COBERTURA DE LICENÇA PATERNIDADE</t>
  </si>
  <si>
    <r>
      <rPr>
        <sz val="9.5"/>
        <rFont val="Calibri"/>
        <family val="2"/>
        <scheme val="minor"/>
      </rPr>
      <t>SUBSTITUTO NA COBERTURA
DE AUSÊNCIA POR ACIDENTE DE TRABALHO</t>
    </r>
  </si>
  <si>
    <r>
      <rPr>
        <sz val="9.5"/>
        <rFont val="Calibri"/>
        <family val="2"/>
        <scheme val="minor"/>
      </rPr>
      <t>SUBSTITUTO NA COBERTURA
DE AFASTAMENTO MATERNIDADE</t>
    </r>
  </si>
  <si>
    <t>TOTAL DAS AUSÊNCIAS LEGAIS</t>
  </si>
  <si>
    <t>---</t>
  </si>
  <si>
    <r>
      <rPr>
        <b/>
        <sz val="9.5"/>
        <rFont val="Calibri"/>
        <family val="2"/>
        <scheme val="minor"/>
      </rPr>
      <t xml:space="preserve">Submódulo 4.2 – Substituto na Intrajornada
A) Substituto na cobertura de Intrajornada - </t>
    </r>
    <r>
      <rPr>
        <b/>
        <u/>
        <sz val="9.5"/>
        <color rgb="FF0000FF"/>
        <rFont val="Calibri"/>
        <family val="2"/>
        <scheme val="minor"/>
      </rPr>
      <t>DEVE SER CONSIDERADA 1</t>
    </r>
    <r>
      <rPr>
        <b/>
        <sz val="9.5"/>
        <color rgb="FF0000FF"/>
        <rFont val="Calibri"/>
        <family val="2"/>
        <scheme val="minor"/>
      </rPr>
      <t xml:space="preserve"> (</t>
    </r>
    <r>
      <rPr>
        <b/>
        <u/>
        <sz val="9.5"/>
        <color rgb="FF0000FF"/>
        <rFont val="Calibri"/>
        <family val="2"/>
        <scheme val="minor"/>
      </rPr>
      <t>UMA) HORA NO CUSTO DOS POSTOS 12X36</t>
    </r>
    <r>
      <rPr>
        <b/>
        <sz val="9.5"/>
        <color rgb="FF0000FF"/>
        <rFont val="Calibri"/>
        <family val="2"/>
        <scheme val="minor"/>
      </rPr>
      <t xml:space="preserve"> </t>
    </r>
    <r>
      <rPr>
        <b/>
        <u/>
        <sz val="9.5"/>
        <color rgb="FF0000FF"/>
        <rFont val="Calibri"/>
        <family val="2"/>
        <scheme val="minor"/>
      </rPr>
      <t>DIURNOS E NOTURNOS</t>
    </r>
    <r>
      <rPr>
        <b/>
        <sz val="9.5"/>
        <rFont val="Calibri"/>
        <family val="2"/>
        <scheme val="minor"/>
      </rPr>
      <t>.</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</si>
  <si>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rFont val="Calibri"/>
        <family val="2"/>
        <scheme val="minor"/>
      </rPr>
      <t xml:space="preserve">: art. 71, §4;
Súmula nº </t>
    </r>
    <r>
      <rPr>
        <u/>
        <sz val="9.5"/>
        <color rgb="FF0000ED"/>
        <rFont val="Calibri"/>
        <family val="2"/>
        <scheme val="minor"/>
      </rPr>
      <t>437</t>
    </r>
    <r>
      <rPr>
        <sz val="9.5"/>
        <rFont val="Calibri"/>
        <family val="2"/>
        <scheme val="minor"/>
      </rPr>
      <t xml:space="preserve">, TST
OBS: Preferencialmente, o intervalo deverá ser usufruído pelo empregado. Caso não seja possível, e, desde que haja expressa previsão no edital poderá ser cotado o respectivo encargo.
</t>
    </r>
    <r>
      <rPr>
        <b/>
        <sz val="9.5"/>
        <rFont val="Times New Roman"/>
        <family val="1"/>
      </rPr>
      <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</si>
  <si>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((Preço do Uniforme) * (Quantidade Anual)) / 12</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</si>
  <si>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Não  irão  compor  a  Planilha  de  Custos  e  Formação  de  Preços,  pois  serão  pagos pelo CONTRATANTE apenas os materiais efetivamente consumidos.</t>
    </r>
  </si>
  <si>
    <r>
      <rPr>
        <b/>
        <sz val="11"/>
        <rFont val="Calibri"/>
        <family val="2"/>
        <scheme val="minor"/>
      </rPr>
      <t xml:space="preserve">MÓDULO 6: Custos Indiretos, Tributos e Lucro
</t>
    </r>
    <r>
      <rPr>
        <sz val="11"/>
        <rFont val="Calibri"/>
        <family val="2"/>
        <scheme val="minor"/>
      </rPr>
      <t>Empresa Optante pelo Lucro Real</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</si>
  <si>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Percentual de Custos Indiretos</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</si>
  <si>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Custos  Indiretos)  * Percentual de Lucro</t>
    </r>
  </si>
  <si>
    <r>
      <t xml:space="preserve">C) Tributos: </t>
    </r>
    <r>
      <rPr>
        <sz val="9.5"/>
        <rFont val="Calibri"/>
        <family val="2"/>
        <scheme val="minor"/>
      </rPr>
      <t>8,65%, sendo 3% de Cofins, 0,65% de Pis e 5% de ISS</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</si>
  <si>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Custos  Indiretos  + Lucro) / (1 – Soma dos percentuais de tributos)</t>
    </r>
  </si>
  <si>
    <r>
      <t>2)</t>
    </r>
    <r>
      <rPr>
        <sz val="12"/>
        <rFont val="Arial Narrow"/>
        <family val="2"/>
      </rPr>
      <t xml:space="preserve"> Está ciente da responsabilidade de manter seus dados cadastrais atualizados junto ao Contratante, bem como se compromete a informar qualquer alteração que venha a ser realizada.</t>
    </r>
  </si>
  <si>
    <t>ANEXO VI  - MEMÓRIA DE CÁLCULO</t>
  </si>
  <si>
    <t>QUANTIDADE</t>
  </si>
  <si>
    <t>TOTAL BRUTO</t>
  </si>
  <si>
    <t>DESCONTO 6% SALÁRIO</t>
  </si>
  <si>
    <t>TOTAL LÍQUIDO DO VALE TRANSPORTE</t>
  </si>
  <si>
    <r>
      <rPr>
        <u/>
        <sz val="9.5"/>
        <rFont val="Calibri"/>
        <family val="2"/>
        <scheme val="minor"/>
      </rPr>
      <t>Metodolo</t>
    </r>
    <r>
      <rPr>
        <sz val="9.5"/>
        <rFont val="Calibri"/>
        <family val="2"/>
        <scheme val="minor"/>
      </rPr>
      <t>g</t>
    </r>
    <r>
      <rPr>
        <u/>
        <sz val="9.5"/>
        <rFont val="Calibri"/>
        <family val="2"/>
        <scheme val="minor"/>
      </rPr>
      <t>ia de Cálculo do Adicional de Periculosidade</t>
    </r>
    <r>
      <rPr>
        <sz val="9.5"/>
        <rFont val="Calibri"/>
        <family val="2"/>
        <scheme val="minor"/>
      </rPr>
      <t xml:space="preserve">:
</t>
    </r>
    <r>
      <rPr>
        <b/>
        <sz val="9.5"/>
        <rFont val="Calibri"/>
        <family val="2"/>
        <scheme val="minor"/>
      </rPr>
      <t>R$ 2.192,65 * 30%</t>
    </r>
  </si>
  <si>
    <r>
      <t xml:space="preserve">D) Adicional Noturno: </t>
    </r>
    <r>
      <rPr>
        <b/>
        <sz val="10"/>
        <color rgb="FF000000"/>
        <rFont val="Calibri"/>
        <family val="2"/>
        <scheme val="minor"/>
      </rPr>
      <t>R$ 272,09</t>
    </r>
  </si>
  <si>
    <r>
      <rPr>
        <u/>
        <sz val="9.5"/>
        <rFont val="Calibri"/>
        <family val="2"/>
        <scheme val="minor"/>
      </rPr>
      <t>Metodolo</t>
    </r>
    <r>
      <rPr>
        <sz val="9.5"/>
        <rFont val="Calibri"/>
        <family val="2"/>
        <scheme val="minor"/>
      </rPr>
      <t>g</t>
    </r>
    <r>
      <rPr>
        <u/>
        <sz val="9.5"/>
        <rFont val="Calibri"/>
        <family val="2"/>
        <scheme val="minor"/>
      </rPr>
      <t>ia de Cálculo do Adicional Noturno</t>
    </r>
    <r>
      <rPr>
        <sz val="9.5"/>
        <rFont val="Calibri"/>
        <family val="2"/>
        <scheme val="minor"/>
      </rPr>
      <t xml:space="preserve">:
</t>
    </r>
    <r>
      <rPr>
        <b/>
        <sz val="9.5"/>
        <rFont val="Calibri"/>
        <family val="2"/>
        <scheme val="minor"/>
      </rPr>
      <t>((R$ 2.192,65 + R$ 657,80) / (220hs) * (20%) * (7hs) * (15d)</t>
    </r>
  </si>
  <si>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73 e §§; </t>
    </r>
    <r>
      <rPr>
        <u/>
        <sz val="9.5"/>
        <color rgb="FF0000ED"/>
        <rFont val="Calibri"/>
        <family val="2"/>
        <scheme val="minor"/>
      </rPr>
      <t>CF/88</t>
    </r>
    <r>
      <rPr>
        <sz val="9.5"/>
        <rFont val="Calibri"/>
        <family val="2"/>
        <scheme val="minor"/>
      </rPr>
      <t>: art. 7º, IX</t>
    </r>
  </si>
  <si>
    <t>Segundo  a  classificação  do  nível  de  risco  dos  serviços,  o prêmio pode ser de 1%, 2% ou 3%, é o que preceitua o artigo 22,   inciso   II,   da   Lei   nº   8.212/91.   (RAT   *   FAP)   =   RAT Ajustado* FAP (0,50) * RAT (3,00) = 1,5%</t>
  </si>
  <si>
    <t xml:space="preserve">Por  força  do  artigo  30  da  Lei  nº  8.036/90,  a  contratada  fica obrigada a contribuir com esses sistemas. </t>
  </si>
  <si>
    <t xml:space="preserve">Em obediência ao Decreto-Lei nº 2.318/86. </t>
  </si>
  <si>
    <r>
      <rPr>
        <u/>
        <sz val="9.5"/>
        <rFont val="Calibri"/>
        <family val="2"/>
        <scheme val="minor"/>
      </rPr>
      <t>Metodolo</t>
    </r>
    <r>
      <rPr>
        <sz val="9.5"/>
        <rFont val="Calibri"/>
        <family val="2"/>
        <scheme val="minor"/>
      </rPr>
      <t>g</t>
    </r>
    <r>
      <rPr>
        <u/>
        <sz val="9.5"/>
        <rFont val="Calibri"/>
        <family val="2"/>
        <scheme val="minor"/>
      </rPr>
      <t>ia de Cálculo do Vale-Transporte para postos 12x36hs</t>
    </r>
    <r>
      <rPr>
        <sz val="9.5"/>
        <rFont val="Calibri"/>
        <family val="2"/>
        <scheme val="minor"/>
      </rPr>
      <t>:</t>
    </r>
  </si>
  <si>
    <t>(R$ 5,50) * (2 vales) * (15 dias) – (6% * R$ 2.192,65)</t>
  </si>
  <si>
    <r>
      <rPr>
        <u/>
        <sz val="9.5"/>
        <rFont val="Calibri"/>
        <family val="2"/>
        <scheme val="minor"/>
      </rPr>
      <t>Metodolo</t>
    </r>
    <r>
      <rPr>
        <sz val="9.5"/>
        <rFont val="Calibri"/>
        <family val="2"/>
        <scheme val="minor"/>
      </rPr>
      <t>g</t>
    </r>
    <r>
      <rPr>
        <u/>
        <sz val="9.5"/>
        <rFont val="Calibri"/>
        <family val="2"/>
        <scheme val="minor"/>
      </rPr>
      <t>ia de Cálculo do Vale-Transporte para postos 44hs semanais</t>
    </r>
    <r>
      <rPr>
        <sz val="9.5"/>
        <rFont val="Calibri"/>
        <family val="2"/>
        <scheme val="minor"/>
      </rPr>
      <t>:</t>
    </r>
  </si>
  <si>
    <t>(R$ 5,50) * (2 vales) * (21 dias) – (6% * R$ 2.192,65)</t>
  </si>
  <si>
    <r>
      <rPr>
        <b/>
        <u/>
        <sz val="9.5"/>
        <rFont val="Calibri"/>
        <family val="2"/>
        <scheme val="minor"/>
      </rPr>
      <t>Metodolo</t>
    </r>
    <r>
      <rPr>
        <b/>
        <sz val="9.5"/>
        <rFont val="Calibri"/>
        <family val="2"/>
        <scheme val="minor"/>
      </rPr>
      <t>g</t>
    </r>
    <r>
      <rPr>
        <b/>
        <u/>
        <sz val="9.5"/>
        <rFont val="Calibri"/>
        <family val="2"/>
        <scheme val="minor"/>
      </rPr>
      <t>ia de Cálculo</t>
    </r>
    <r>
      <rPr>
        <b/>
        <sz val="9.5"/>
        <rFont val="Calibri"/>
        <family val="2"/>
        <scheme val="minor"/>
      </rPr>
      <t xml:space="preserve">:
Postos 44hs semanais:  </t>
    </r>
    <r>
      <rPr>
        <sz val="9.5"/>
        <rFont val="Calibri"/>
        <family val="2"/>
        <scheme val="minor"/>
      </rPr>
      <t xml:space="preserve">(R$ 37,50)  *  (21 dias)  - (2%)  </t>
    </r>
    <r>
      <rPr>
        <b/>
        <sz val="9.5"/>
        <rFont val="Calibri"/>
        <family val="2"/>
        <scheme val="minor"/>
      </rPr>
      <t xml:space="preserve">                                                                                                                                                                                                                                                       Postos 12x36hs:             </t>
    </r>
    <r>
      <rPr>
        <sz val="9.5"/>
        <rFont val="Calibri"/>
        <family val="2"/>
        <scheme val="minor"/>
      </rPr>
      <t xml:space="preserve"> (R$ 37,50)  *  (15 dias)  - (2%)</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</si>
  <si>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da Assistência Médica) – (Desconto da parte do empregado)                                                                                                                                                                                                            (R 140,00) – (R$ 0,00) = R$ 140,00</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</si>
  <si>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do Auxílio Doença) – (Desconto da parte do empregado)                                                                                                                                                                                                            (R$ 14,00) – (R$ 0,00) = R$ 14,00</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</si>
  <si>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da Assistência Odontológica) – (Desconto da parte do empregado)                                                                                                                                                                                                            (R 9,00) – (R$ 0,00) = R$ 9,00</t>
    </r>
  </si>
  <si>
    <r>
      <t xml:space="preserve">    A –Substituo na Cobertura de Férias -  Remuneração/12.     Em     percentual     da     Remuneração     = (1/12)*100=8,33%. Fonte: Acórdão TCU n. 1.904/2007 e Acórdão TCU-Plenario Nº 1513/2013. Gratificação de Natal, instituída pela Lei nº 4.090, de 13 de julho de 1962. A provisão mensal representa 1/12 da folha para que ao final do período complete um salário. </t>
    </r>
    <r>
      <rPr>
        <b/>
        <i/>
        <sz val="10"/>
        <color rgb="FFFF0000"/>
        <rFont val="Times New Roman"/>
        <family val="1"/>
      </rPr>
      <t>Memória de Cálculo: (1/12) x 100 = 8,33%.</t>
    </r>
  </si>
  <si>
    <r>
      <t xml:space="preserve">    A - 13º (décimo terceiro) salário - </t>
    </r>
    <r>
      <rPr>
        <b/>
        <i/>
        <sz val="10"/>
        <color rgb="FFFF0000"/>
        <rFont val="Times New Roman"/>
        <family val="1"/>
      </rPr>
      <t>Memória de Cálculo: (1/12) x 100 = 8,33%.</t>
    </r>
  </si>
  <si>
    <r>
      <t xml:space="preserve">Remuneração/12.     Em     percentual     da     Remuneração     = (1/12)*100=8,33%                                                                
Fonte: Acórdão TCU n. 1.904/2007 e Acórdão TCU-Plenario Nº 1513/2013. Gratificação de Natal, instituída pela Lei nº 4.090, de 13 de julho de 1962. A provisão mensal representa 1/12 da folha para que ao final do período complete um salário. </t>
    </r>
    <r>
      <rPr>
        <b/>
        <i/>
        <sz val="9.5"/>
        <color rgb="FFFF0000"/>
        <rFont val="Calibri"/>
        <family val="2"/>
        <scheme val="minor"/>
      </rPr>
      <t>Memória de Cálculo: (1/12) x 100 = 8,33%.</t>
    </r>
  </si>
  <si>
    <r>
      <t xml:space="preserve">Adicional    de    Férias:    em    percentual    da    remuneração: [(1/3)/12]*100 = 2,78%pagamento ocorre conforme preceitua o artigo 129 e o inciso I, artigo 130, do Decreto-Lei nº 5.452/43 - CLT. Cálculo: ( 1/3 / 12)*  100  =  2,78%  .  Fonte:  Acórdão  TCU  n.  1.904/2007  e Acórdão TCU-Plenário Nº 1513/2013. Afastamento  de  30  dias,  sem  prejuízo  da  remuneração,  após cada período de 12 meses de vigência do contrato de trabalho. O pagamento ocorre conforme preceitua o artigo 129 e o inciso I, artigo 130, do Decreto-Lei nº 5.452/43 - CLT. </t>
    </r>
    <r>
      <rPr>
        <b/>
        <i/>
        <sz val="9.5"/>
        <color rgb="FFFF0000"/>
        <rFont val="Calibri"/>
        <family val="2"/>
        <scheme val="minor"/>
      </rPr>
      <t>Memória de Cálculo: ( 1/3 /12)* 100 = 2,78%.</t>
    </r>
    <r>
      <rPr>
        <sz val="9.5"/>
        <rFont val="Calibri"/>
        <family val="2"/>
        <scheme val="minor"/>
      </rPr>
      <t xml:space="preserve"> Fonte: Acórdão TCU n. 1.904/2007 e Acórdão TCU-Plenário Nº 1513/2013.</t>
    </r>
  </si>
  <si>
    <r>
      <t xml:space="preserve">    B - Adicional de Férias - </t>
    </r>
    <r>
      <rPr>
        <b/>
        <i/>
        <sz val="10"/>
        <color rgb="FFFF0000"/>
        <rFont val="Times New Roman"/>
        <family val="1"/>
      </rPr>
      <t>Memória de Cálculo: ( 1/3 /12)* 100 = 2,78%</t>
    </r>
  </si>
  <si>
    <t xml:space="preserve">    B - Incidência do FGTS sobre aviso prévio indenizado (0,08% x 8%)</t>
  </si>
  <si>
    <t>Estima-se  que  5%  do  pessoal  é  demitido  antes  do  término  do contrato.  Assim,  o  cálculo  é:  (0,05x0,4)*0,08  =  0,16%,  onde: 5%  corresponde  à  estatística  de  demissões  antes  do  término; 40%  é  a  multa  do  FGTS;  8%  é  a  alíquota  do  FGTS.  Fonte: NOTA TÉCNICA 001/2013 do CJF e Acórdão TCU - Plenário nº 1513/2013.
A  partir  de  1º/1/2020,  foi  extinta  a  contribuição  social  devida pelos  empregadores  em  caso  de  despedida  de  empregado  sem justa causa, que corresponde à alíquota de 10% (dez por cento) sobre  o  montante  de  todos  os  depósitos  devidos,  referente  ao Fundo  de  Garantia  do  Tempo  de  Serviço  (FGTS).  A  Lei  n.º 13.932/2019, em seu parágrafo 12, extinguiu essa contribuição, conforme transcrição a seguir:
[...] Art. 12. A partir de 1º de janeiro de 2020, fica extinta a contribuição social instituída por meio do art. 1º da Lei Complementar nº 110, de 29 de junho de 2001.</t>
  </si>
  <si>
    <r>
      <t xml:space="preserve">   F - Multa do FGTS nas rescisões sem justa causa - </t>
    </r>
    <r>
      <rPr>
        <b/>
        <sz val="10"/>
        <color rgb="FFFF0000"/>
        <rFont val="Times New Roman"/>
        <family val="1"/>
      </rPr>
      <t xml:space="preserve"> (Trata da multa de 40% que o empregado tem direito no caso das seguintes rescisões: 1) Rescisão Atencipada, pelo empregador, do contrato de trabalho; 2) Despedida sem justa causa, pelo empregador; 3) Despedida sem justa causa pelo empregador; 4) Rescisão indireta pelo empregador) e da Multa de 20% nas seguintes resciões: 1) Rescisão por culpa recíproca; 2) Rescisão por força maior; 3) Acordo empregado / empregador; e não há a aplicação de multa nas seguintes rescisões:  1) Rescisão do contrato de trabalho por falecimento do empregado; 2) Despedida por justa causa pelo empregador; 3) Extinção normal do contrato de trabalho por prazo determinado; 3) Rescisão antecipada, pelo empregado, do contrato de trabalho; 4) Rescisão contratual a pedido do empregado.  Portanto, apesar da IN 05 prever o percentual da multa de 40% sobre o Aviso Prévio Trabalhado, na verdade essa multa se dá sobre os depósitos do FGTS nos casos de rescisão sem justa causa, conforme justificado acima, vimos que a realidade referente ao percentual dessa multa é outro, já que não são todos os tipos de rescisões que prevêm a multa no percentual de 40%, como vimos, existem a multa de 20% e também existe a rescisão sem a previsão de multa. Desta forma,  tendo em vista que a média de 84,70% dos empregados desta empresa são demitidos fazendo juz a multa de 40%,  a provisão para esse item representa: [(8*0,40)*0,847*100%] = 3,28%</t>
    </r>
  </si>
  <si>
    <r>
      <t xml:space="preserve">   C - Multa do FGTS do Aviso Prévio Indenizado -</t>
    </r>
    <r>
      <rPr>
        <b/>
        <sz val="10"/>
        <color rgb="FFFF0000"/>
        <rFont val="Times New Roman"/>
        <family val="1"/>
      </rPr>
      <t xml:space="preserve"> Segundo o edital, estima-se  que  5%  do  pessoal  é  demitido  antes  do  término  do contrato.  Assim,  o  cálculo  é:  (0,05x0,4)*0,08  =  0,16%,  onde: 5%  corresponde  à  estatística  de  demissões  antes  do  término; 40%  é  a  multa  do  FGTS;  8%  é  a  alíquota  do  FGTS.  Fonte: NOTA TÉCNICA 001/2013 do CJF e Acórdão TCU - Plenário nº 1513/2013.</t>
    </r>
  </si>
  <si>
    <t xml:space="preserve"> (CF, art. 7º, inciso XXI e CLT, arts. 477 e 487 a 491 - Trata de valor devido ao empregado no caso de o empregador rescindir o contrato sem justo motivo e sem lhe conceder aviso prévio. De acordo com as estatísticas desta empresa, menos de 1% do seu pessoal é demitido pelo empregador, antes do término do contrato de trabalho logo a provisão representa: Memória de Cálculo:  ((1/12)x 0,01) x 100 =0,08 %.</t>
  </si>
  <si>
    <t>MULTA DO FGTS NAS RESCISÕES SEM JUSTA CAUSA</t>
  </si>
  <si>
    <t>A CF,  no  art.  7°,  XVII,  dispõe  que  é  direito  do  trabalhador  o "gozo de férias anuais remuneradas com pelo menos um terço a mais  do  que  o  salário  normal".  Arts.  129,  130,  142  e  143, da  CLT.  Cálculo:  percentual  estabelecido  pelo  Anexo  XII  da Instrução  Normativa  MPDG  n.º  5/2017.  Como  convencionado pela   Administração,   a   rubrica   Férias   no   Submódulo   2.1B permanecerá zerada; Assim, no Submódulo 4.1A, o percentual respectivo  será  integral,  ou  seja,  de  8,33%.  É  descabida  a reformulação da PCFP quanto aos citados Submódulos, no caso de prorrogação contratual - Memória de cálculo = 1/12*100= 8,33%</t>
  </si>
  <si>
    <t>Art. 7°, XIX, da CF, combinado com o art. 10, § 1º, dos Atos das  Disposições  Constitucionais  Transitórias  (ADCT).  Quanto ao  cálculo,  utilizam-se  os  dados  estatísticos  de  1,5%  que  se tornam   pais.   [(5/30)   /   12   x   0,015]   x   100.   O   cálculo   do determinado  item  deverá  levar  em  consideração  a  Base  de Cálculo  para  o  Custo  de  Reposição  do  Profissional  Ausente (BCCPA = Remuneração + 13° Salário + Férias + 1/3 Férias). Cálculo: (((BCCPA/30)*5DIAS)/12)*1,5%.</t>
  </si>
  <si>
    <r>
      <t xml:space="preserve">    C - Substituto na Cobertura de Licença paternidade</t>
    </r>
    <r>
      <rPr>
        <i/>
        <sz val="10"/>
        <rFont val="Times New Roman"/>
        <family val="1"/>
      </rPr>
      <t xml:space="preserve"> </t>
    </r>
    <r>
      <rPr>
        <b/>
        <i/>
        <sz val="8"/>
        <rFont val="Times New Roman"/>
        <family val="1"/>
      </rPr>
      <t xml:space="preserve">(Art. 7º, inciso XIX da CF e art. 10, §1º dos ADCT. Concede ao empregado o direito de ausentar-se do serviço por cinco dias quando do nascimento de filho. De acordo com as estatísticas dessa empresa, nascem filhos de 1,5% dos trabalhadores no periodo de 1 ano.  </t>
    </r>
    <r>
      <rPr>
        <b/>
        <i/>
        <sz val="8"/>
        <color rgb="FFFF0000"/>
        <rFont val="Times New Roman"/>
        <family val="1"/>
      </rPr>
      <t>((5d/30d)/12m x 1,5%)x100 = 0,02% .</t>
    </r>
  </si>
  <si>
    <r>
      <t xml:space="preserve">    E - Substituto na Cobertura de Afastamento Maternidade</t>
    </r>
    <r>
      <rPr>
        <b/>
        <i/>
        <sz val="10"/>
        <rFont val="Times New Roman"/>
        <family val="1"/>
      </rPr>
      <t xml:space="preserve"> (Conforme arts. 6º e 7º, inciso XVIII, 201, inciso II e 203, inciso I da CF; Lei Ordinária Federal nº 8.123/91, arts. 71 a 73. A licença maternidade tem duração de 120 dias. O cálculo deve considerar 4/12 de adicional de 1/3 de férias e 4/12 de 13º salário da profissional substituta. De acordo com as estatísticas desta empresa  31,00% dos profissionais que trabalham como brigadistas são mulheres e que a média de 10% dessas brigadistas recebem o benefício Cálculo:</t>
    </r>
    <r>
      <rPr>
        <b/>
        <i/>
        <sz val="10"/>
        <color rgb="FFFF0000"/>
        <rFont val="Times New Roman"/>
        <family val="1"/>
      </rPr>
      <t xml:space="preserve"> ((1 ÷ 12 x 4) + (1,33 ÷ 12 x 4)) ÷ 12 x 0,31) = 0,02%</t>
    </r>
  </si>
  <si>
    <t xml:space="preserve"> (Conforme arts. 6º e 7º, inciso XVIII, 201, inciso II e 203, inciso I da CF; Lei Ordinária Federal nº 8.123/91, arts. 71 a 73. A licença maternidade tem duração de 120 dias. O cálculo deve considerar 4/12 de adicional de 1/3 de férias e 4/12 de 13º salário da profissional substituta. De acordo com as estatísticas desta empresa  31,00% dos profissionais que trabalham como brigadistas são mulheres e que a média de 10% dessas brigadistas recebem o benefício Cálculo: ((1 ÷ 12 x 4) + (1,33 ÷ 12 x 4)) ÷ 12 x 0,31) = 0,02%</t>
  </si>
  <si>
    <t>CATEGORIA</t>
  </si>
  <si>
    <t>QTD DE POSTOS</t>
  </si>
  <si>
    <t>QUANT. FUNC. POR POSTO</t>
  </si>
  <si>
    <t>VALOR MENSAL POR POSTO</t>
  </si>
  <si>
    <t>QTD DE FUNCION.</t>
  </si>
  <si>
    <t>VALOR TOTAL MENSAL</t>
  </si>
  <si>
    <t>VALOR TOTAL ANUAL</t>
  </si>
  <si>
    <t>VALOR TOTAL MENSAL (R$)</t>
  </si>
  <si>
    <r>
      <rPr>
        <b/>
        <sz val="9.5"/>
        <rFont val="Calibri"/>
        <family val="2"/>
        <scheme val="minor"/>
      </rPr>
      <t>ANEXO VIII DO TERMO
DE REFERÊNCIA N</t>
    </r>
    <r>
      <rPr>
        <b/>
        <vertAlign val="superscript"/>
        <sz val="7.5"/>
        <rFont val="Calibri"/>
        <family val="2"/>
        <scheme val="minor"/>
      </rPr>
      <t xml:space="preserve">o </t>
    </r>
    <r>
      <rPr>
        <b/>
        <sz val="9.5"/>
        <rFont val="Calibri"/>
        <family val="2"/>
        <scheme val="minor"/>
      </rPr>
      <t>033/2020-DIRF11ªCJM
QUADRO RESUMO DOS CUSTOS DA CONTRATAÇÃO - VALOR FINAL DA CONTRATAÇÃO</t>
    </r>
  </si>
  <si>
    <r>
      <rPr>
        <b/>
        <sz val="9.5"/>
        <rFont val="Calibri"/>
        <family val="2"/>
        <scheme val="minor"/>
      </rPr>
      <t>CUSTO UNITÁRIO
POR MES</t>
    </r>
  </si>
  <si>
    <r>
      <t xml:space="preserve">Vigilância  </t>
    </r>
    <r>
      <rPr>
        <b/>
        <sz val="9.5"/>
        <rFont val="Calibri"/>
        <family val="2"/>
        <scheme val="minor"/>
      </rPr>
      <t>armada  noturna    de    12hx36h    de Segunda-Feira a Domingo.</t>
    </r>
  </si>
  <si>
    <r>
      <rPr>
        <sz val="9.5"/>
        <rFont val="Calibri"/>
        <family val="2"/>
        <scheme val="minor"/>
      </rPr>
      <t xml:space="preserve">Vigilância </t>
    </r>
    <r>
      <rPr>
        <b/>
        <sz val="9.5"/>
        <rFont val="Calibri"/>
        <family val="2"/>
        <scheme val="minor"/>
      </rPr>
      <t xml:space="preserve">armada diurna     </t>
    </r>
    <r>
      <rPr>
        <sz val="9.5"/>
        <rFont val="Calibri"/>
        <family val="2"/>
        <scheme val="minor"/>
      </rPr>
      <t>de     12hx36h     de Segunda-Feira a Domingo.</t>
    </r>
  </si>
  <si>
    <r>
      <rPr>
        <sz val="9.5"/>
        <rFont val="Calibri"/>
        <family val="2"/>
        <scheme val="minor"/>
      </rPr>
      <t xml:space="preserve">Vigilância </t>
    </r>
    <r>
      <rPr>
        <b/>
        <sz val="9.5"/>
        <rFont val="Calibri"/>
        <family val="2"/>
        <scheme val="minor"/>
      </rPr>
      <t xml:space="preserve">armada diurna   </t>
    </r>
    <r>
      <rPr>
        <sz val="9.5"/>
        <rFont val="Calibri"/>
        <family val="2"/>
        <scheme val="minor"/>
      </rPr>
      <t>de   44   (quarenta   e quatro)  horas  semanais,  de segunda a sexta-feira.</t>
    </r>
  </si>
  <si>
    <r>
      <rPr>
        <sz val="9.5"/>
        <rFont val="Calibri"/>
        <family val="2"/>
        <scheme val="minor"/>
      </rPr>
      <t xml:space="preserve">Vigilância </t>
    </r>
    <r>
      <rPr>
        <b/>
        <sz val="9.5"/>
        <rFont val="Calibri"/>
        <family val="2"/>
        <scheme val="minor"/>
      </rPr>
      <t xml:space="preserve">desarmada diurna   </t>
    </r>
    <r>
      <rPr>
        <sz val="9.5"/>
        <rFont val="Calibri"/>
        <family val="2"/>
        <scheme val="minor"/>
      </rPr>
      <t>de   44   (quarenta   e quatro)  horas  semanais,  de segunda a sexta-feira.</t>
    </r>
  </si>
  <si>
    <t>Edifício-Sede das Auditorias da 11ª CJM, no Setor de Autarquias Sul - Quadra 03 – Lote 3-A – Asa Sul – Brasília / DF</t>
  </si>
  <si>
    <t>E) Adicional de Hora Noturna Reduzida: R$ 38,86</t>
  </si>
  <si>
    <r>
      <rPr>
        <u/>
        <sz val="9.5"/>
        <rFont val="Calibri"/>
        <family val="2"/>
        <scheme val="minor"/>
      </rPr>
      <t>Metodolo</t>
    </r>
    <r>
      <rPr>
        <sz val="9.5"/>
        <rFont val="Calibri"/>
        <family val="2"/>
        <scheme val="minor"/>
      </rPr>
      <t>g</t>
    </r>
    <r>
      <rPr>
        <u/>
        <sz val="9.5"/>
        <rFont val="Calibri"/>
        <family val="2"/>
        <scheme val="minor"/>
      </rPr>
      <t>ia de Cálculo do Adicional Noturno</t>
    </r>
    <r>
      <rPr>
        <sz val="9.5"/>
        <rFont val="Calibri"/>
        <family val="2"/>
        <scheme val="minor"/>
      </rPr>
      <t xml:space="preserve">:
</t>
    </r>
    <r>
      <rPr>
        <b/>
        <sz val="9.5"/>
        <rFont val="Calibri"/>
        <family val="2"/>
        <scheme val="minor"/>
      </rPr>
      <t>((R$ 2.192,65 + R$ 657,80) / (220hs) * (20%) * (1h) * (15d)</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</si>
  <si>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do Seguro de Vida) – (Desconto da parte do empregado)                                                                                                                                                                                                            (R$ 10,00) – (R$ 0,00) = R$ 8,17</t>
    </r>
  </si>
  <si>
    <t>R$ 8,17 (oito reais e dezessete centavos) mensais por profissional, conforme Cláusula Décima Sexta da CCT 2020/2020 do SINDESV-DF (Doc. SEI nº 1856257 ).</t>
  </si>
  <si>
    <r>
      <t xml:space="preserve">    A - Aviso prévio indenizado </t>
    </r>
    <r>
      <rPr>
        <i/>
        <sz val="10"/>
        <rFont val="Times New Roman"/>
        <family val="1"/>
      </rPr>
      <t xml:space="preserve"> </t>
    </r>
    <r>
      <rPr>
        <b/>
        <sz val="10"/>
        <rFont val="Times New Roman"/>
        <family val="1"/>
      </rPr>
      <t xml:space="preserve">(CF, art. 7º, inciso XXI e CLT, arts. 477 e 487 a 491. </t>
    </r>
    <r>
      <rPr>
        <b/>
        <sz val="10"/>
        <color rgb="FFFF0000"/>
        <rFont val="Times New Roman"/>
        <family val="1"/>
      </rPr>
      <t>Trata-se de valor devido ao empregado no caso de o empregador rescindir o contrato sem justo motivo e sem lhe conceder aviso prévio. De acordo com as estatísticas desta empresa, menos de 0,20% do seu pessoal é demitido pelo empregador, antes do término do contrato de trabalho logo a provisão representa: ((1/12)x 0,01) x 100 =0,08 %.</t>
    </r>
  </si>
  <si>
    <r>
      <t xml:space="preserve">    D - Aviso Prévio Trabalhado</t>
    </r>
    <r>
      <rPr>
        <b/>
        <sz val="10"/>
        <rFont val="Times New Roman"/>
        <family val="1"/>
      </rPr>
      <t xml:space="preserve"> (Acórdão TCU 3.006/2010 - Plenário - apêndice pág. 53. Refere-se à indenização de sete dias corridos devida ao empregado no caso de o empregador rescindir o contrato sem justo motivo e conceder aviso prévio, conforme disposto no art. 488 da CLT).  </t>
    </r>
    <r>
      <rPr>
        <b/>
        <sz val="10"/>
        <color rgb="FFFF0000"/>
        <rFont val="Times New Roman"/>
        <family val="1"/>
      </rPr>
      <t xml:space="preserve"> Em razão da CCT da Categoria, prever que os empregados terão direito a continuidade na contratação dos serviços, é quase nula a demissão dos empregados terceirizados nessa situação. Logo a provisão representa: ((7/30)/12) x 0,02 x 100 = 0,04 %.</t>
    </r>
  </si>
  <si>
    <r>
      <t xml:space="preserve">    </t>
    </r>
    <r>
      <rPr>
        <sz val="11"/>
        <color indexed="8"/>
        <rFont val="Times New Roman"/>
        <family val="1"/>
      </rPr>
      <t xml:space="preserve">D - Substituto na Cobertura de Ausência por Acidente de Trabalho </t>
    </r>
    <r>
      <rPr>
        <b/>
        <i/>
        <sz val="8"/>
        <color indexed="8"/>
        <rFont val="Times New Roman"/>
        <family val="1"/>
      </rPr>
      <t xml:space="preserve">(O art. 27 do Decreto nº 89.312/84 obriga o empregador a assumir o ônus financeiro pelo prazo de 15 dias, no caso de acidente de trabalho previsto no art. 131 da CLT. De acordo com estatísticas dessa empresa em média menos de  1% dos empregados se acidentam no trabalho no ano. Assim a provisão corresponde a: </t>
    </r>
    <r>
      <rPr>
        <b/>
        <i/>
        <sz val="8"/>
        <color rgb="FFFF0000"/>
        <rFont val="Times New Roman"/>
        <family val="1"/>
      </rPr>
      <t>MEMÓRIA DE CÁLCULO:(15 ÷ 30 ÷ 12 x 0,01 x 100 = 0,04%): 0,04%</t>
    </r>
  </si>
  <si>
    <t>R$ 8,17 (oito reais e dezessete centavos) mensais por profissional, conforme Cláusula Décima Sexta da
CCT 2020/2020 do SINDESV-DF (Doc. SEI nº 1856257 ).</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</si>
  <si>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Hora Noturna Adicional + Adicional de Hora Extra)/Jornada Mensal)  *  (Adicional  de  Hora  Extra)  *  (Nº  de  Horas  do  intervalo)  *  (Dias trabalhados)</t>
    </r>
  </si>
  <si>
    <r>
      <rPr>
        <u/>
        <sz val="9.5"/>
        <rFont val="Calibri"/>
        <family val="2"/>
        <scheme val="minor"/>
      </rPr>
      <t>Posto 12x 36hs Diurno</t>
    </r>
    <r>
      <rPr>
        <sz val="9.5"/>
        <rFont val="Calibri"/>
        <family val="2"/>
        <scheme val="minor"/>
      </rPr>
      <t xml:space="preserve">:
</t>
    </r>
    <r>
      <rPr>
        <b/>
        <sz val="9.5"/>
        <rFont val="Calibri"/>
        <family val="2"/>
        <scheme val="minor"/>
      </rPr>
      <t>((R$ 2.192,65   +   R$ 657,80)  *  (220hs)  *  (1h)  *  (15dias) = R$ 97,17</t>
    </r>
  </si>
  <si>
    <r>
      <rPr>
        <u/>
        <sz val="9.5"/>
        <rFont val="Calibri"/>
        <family val="2"/>
        <scheme val="minor"/>
      </rPr>
      <t>Posto 12x 36hs Noturno</t>
    </r>
    <r>
      <rPr>
        <sz val="9.5"/>
        <rFont val="Calibri"/>
        <family val="2"/>
        <scheme val="minor"/>
      </rPr>
      <t xml:space="preserve">:
</t>
    </r>
    <r>
      <rPr>
        <b/>
        <sz val="9.5"/>
        <rFont val="Calibri"/>
        <family val="2"/>
        <scheme val="minor"/>
      </rPr>
      <t>((R$ 2.192,65   +   R$ 657,80 + R$ 272,08 + R$ 38,86)  *  (220hs)  *  (1h)  *  (15dias) = R$ 107,77</t>
    </r>
  </si>
  <si>
    <t>Revólver calibre 38 (somente manutenção)</t>
  </si>
  <si>
    <t>A) Custos Indiretos: 0,50%</t>
  </si>
  <si>
    <t>B) Lucro: 0,25%</t>
  </si>
  <si>
    <r>
      <rPr>
        <b/>
        <u/>
        <sz val="10"/>
        <color theme="1"/>
        <rFont val="Calibri"/>
        <family val="2"/>
        <scheme val="minor"/>
      </rPr>
      <t>CUSTOS INDIRETOS:</t>
    </r>
    <r>
      <rPr>
        <sz val="10"/>
        <color theme="1"/>
        <rFont val="Calibri"/>
        <family val="2"/>
        <scheme val="minor"/>
      </rPr>
      <t xml:space="preserve">
Dentre esses itens temos os relativos aos custos indiretos, que compreende todas as despesas não alocáveis diretamente à execução dos serviços, são custos decorrentes, por conseguinte, das necessidades e obrigações do executor.
Enquanto os custos diretos são objetivos e vinculados à especificação dos serviços e suas quantificações, os indiretos são subjetivos e associados ao executor, às suas necessidades operacionais (administração central, seguros, garantia, caixa), de rentabilidade e outras obrigações comerciais.
Toda empresa possui uma estrutura administrativa com custo e dimensão próprios. A sua representação no LDI de um contrato é definida estabelecendo em que proporção esse custo é apropriado como despesa de um serviço. Pode ser de forma integral, quando a empresa executa apenas um serviço, ou de forma parcial, na hipótese de rateio entre vários serviços executados pela empresa.
Vale lembrar que esses custos variam entre as empresas pois depende da gestão financeira de cada uma, além de serem rateados entre os demais contratos firmados, razão pela qual não devem ser estipulados de forma obrigatória.
Finalmente, considerando que este item será destinado as despesas relacionadas à administração central, temos a informar que esta empresa além de estar situada em Brasília de forma sólida há muitos anos, estar sediada em imóvel próprio do seu grupo econômico financeiro e tais custos serem destinados a pagar somente despesas administrativas, tais como água, luz, telefone, IPTU, folha de pagamento do pessoal do escritório, material de expediente, despesas financeiras, dentre outros e finalmente, que os mesmos são rateados entre os demais contratos firmados por esta empresa, o percentual informado em sua planilha de custos é suficiente para a gestão administrativa e operacional de forma eficiente e competente.
</t>
    </r>
  </si>
  <si>
    <r>
      <rPr>
        <b/>
        <sz val="10"/>
        <color theme="1"/>
        <rFont val="Calibri"/>
        <family val="2"/>
        <scheme val="minor"/>
      </rPr>
      <t>LUCRO:</t>
    </r>
    <r>
      <rPr>
        <sz val="10"/>
        <color theme="1"/>
        <rFont val="Calibri"/>
        <family val="2"/>
        <scheme val="minor"/>
      </rPr>
      <t xml:space="preserve">
O lucro é um conceito econômico que pode ser descrito de diversas formas para representar uma remuneração alcançada em consequência do desenvolvimento de uma determinada atividade econômica. 
Ele complementa a formação do Preço de Venda, sem que possa ser considerada como item de custo, ele é, na verdade, uma parcela destinada a remunerar os fatores da produção do Executor que intervêm no serviço, tais como: custo de oportunidade do capital aplicado na operacionalização dos serviços; capacidade administrativa e gerencial para a administração do contrato e a condução do serviço, representado pelas estruturas organizacionais da empresa e pelo conjunto de normas e procedimentos de que se utiliza; conhecimento tecnológico adquirido através de experiências pregressas e pelo investimento em formação, treinamento de pessoal e compra de know how e, finalmente, o risco do negócio. A margem é, assim, um excedente sobre o custo orçado, através do qual o Executor buscará realizar seu Lucro.
Dependendo da escolha da estratégia comercial, a empresa pode ser bem agressiva na proposta de preços. Quanto menor for a taxa percentual ofertada, maior será a competitividade da proposta.
O ordenamento jurídico vigente no país, fundado nos princípios da livre iniciativa e da livre concorrência, assegura à empresa a liberdade para agir e conquistar mercados, para estabelecer os preços pelos quais vai vender seus produtos e serviços, sendo vedados o abuso do direito, o uso arbitrário da condição de agente econômico e a obtenção de vantagens ilícitas, na medida em que impõe a toda a coletividade condições que lhe são absolutamente desfavoráveis.
O que é esperado comumente na oferta do lucro para o valor de um contrato é a utilização da expectativa de retorno de um projeto para a empresa, comparada com investimentos alternativos e com a oportunidade do contrato pretendido. Para esse resultado esperado, normalmente é realizada uma avaliação financeira, de acordo com a condição da empresa, avaliação financeira essa que resultou no percentual apresentado, percentual esse compatível com qualquer outro investimento oferecido no mercado financeiro.
Da mesma maneira que os custos indiretos, esse também é um custo que varia de empresa para empresa e depende principalmente da estratégica comercial de cada uma, sendo que a estratégia tomada por esta empresa na cotação do percentual de lucro ofertado ser suficiente para sua manutenção e saúde financeira e estar além de qualquer outra taxa de investimento praticada atualmente no mercado financeiro.
</t>
    </r>
  </si>
  <si>
    <r>
      <rPr>
        <b/>
        <sz val="9.5"/>
        <color theme="1"/>
        <rFont val="Calibri"/>
        <family val="2"/>
        <scheme val="minor"/>
      </rPr>
      <t>JUSTIFICATIVA PARA O CÁLCULO DO ADICIONAL DE INTRAJORNADA</t>
    </r>
    <r>
      <rPr>
        <sz val="9.5"/>
        <color theme="1"/>
        <rFont val="Calibri"/>
        <family val="2"/>
        <scheme val="minor"/>
      </rPr>
      <t xml:space="preserve">
De acordo com a Cláusula Trigésima Sexta da CCT, menciona que não é devida hora extraordinária em razão da compensação de horas na escala 12x36hs, cumprindo ou indenizando o horário de alimentação, senão vejamos:
</t>
    </r>
    <r>
      <rPr>
        <b/>
        <sz val="9.5"/>
        <color theme="1"/>
        <rFont val="Calibri"/>
        <family val="2"/>
        <scheme val="minor"/>
      </rPr>
      <t>“CLÁUSULA TRIGÉSIMA SEXTA - JORNADA DE TRABALHO</t>
    </r>
    <r>
      <rPr>
        <sz val="9.5"/>
        <color theme="1"/>
        <rFont val="Calibri"/>
        <family val="2"/>
        <scheme val="minor"/>
      </rPr>
      <t xml:space="preserve">
A jornada de trabalho poderá ser de 12x36 (doze horas seguidas de trabalho por trinta e seis horas ininterruptas de descanso), não sendo devidas horas extraordinárias, em razão da natural compensação, devidamente cumprido ou indenizado o intervalo intrajornada de 1 (uma) hora para repouso e/ou alimentação.”
Sendo assim, ao ser indenizado ou gozar do horário de alimentação, faz-se necessário a reposição dessas horas, vejamos o cálculo:
• Jornada 12x36h – 1 hora x 15 dias = 15 horas a repor.
Observe que o cálculo informado no Caderno Técnico considera o valor da hora normal de trabalho do vigilante, uma vez que realiza a divisão da remuneração (salário e adicional de risco de vida) por 220 horas e encontra o valor da hora normal, o qual é multiplicado pelas 15 horas de intervalo intrajornada por mês que o vigilante realiza.
No caso em tela, o erro consiste no fato de que o Caderno Técnico orienta a realização de novo pagamento da hora integral do intervalo intrajornada, o que está equivocado pois, neste caso, há uma informação de que a intrajornada deve ser paga duas vezes, o que contraria a CLT e a CCT.
A questão é que as 12 horas trabalhadas por turno do vigilante já estão remuneradas no seu salário e adicional de risco de vida, bem como o descanso remunerado de 36 horas. Neste caso específico das 180 horas trabalhadas no mês (12 horas por plantão x 15 plantões), 15 horas seriam destinadas ao intervalo intrajornada e neste caso 165 horas seriam efetivamente trabalhadas.
Neste caso, quando o vigilante não usufrui do intervalo intrajornada deve-se pagar apenas o acréscimo de 50% sobre o valor da hora, uma vez que o valor da hora normal de trabalho do intervalo intrajornada já está computada nas 12 horas do plantão do vigilante, não sendo obrigatório pagar novamente o mesmo valor.
Esse é o entendimento da Cláusula Trigésima Oitava, parágrafo quarto da Convenção Coletiva De Trabalho da categoria:
</t>
    </r>
    <r>
      <rPr>
        <b/>
        <sz val="9.5"/>
        <color theme="1"/>
        <rFont val="Calibri"/>
        <family val="2"/>
        <scheme val="minor"/>
      </rPr>
      <t>CLÁUSULA TRIGÉSIMA OITAVA - HORÁRIO PARA ALIMENTAÇÃO OU REPOUSO</t>
    </r>
    <r>
      <rPr>
        <sz val="9.5"/>
        <color theme="1"/>
        <rFont val="Calibri"/>
        <family val="2"/>
        <scheme val="minor"/>
      </rPr>
      <t xml:space="preserve">
Em qualquer trabalho contínuo, cuja duração exceda de 6 (seis) horas, inclusive revezamento 12x36 (doze horas seguidas de trabalho por trinta e seis horas ininterruptas de descanso) e jornada 5x2 (5 dias de trabalho com 2 dias de descanso); é obrigatória a concessão de um intervalo para repouso ou alimentação, de 1 (uma) hora, o qual será usufruído ou indenizado, integral ou parcialmente pelo período efetivamente trabalhado, em conformidade com a conveniência e necessidade do serviço, por força da natureza de custódia e guarda da atividade. Fica o vigilante desobrigado de promover a assinalação na folha de ponto ou registro do intervalo intrajornada destinado à alimentação.
</t>
    </r>
    <r>
      <rPr>
        <b/>
        <sz val="9.5"/>
        <color theme="1"/>
        <rFont val="Calibri"/>
        <family val="2"/>
        <scheme val="minor"/>
      </rPr>
      <t xml:space="preserve">Parágrafo Quarto </t>
    </r>
    <r>
      <rPr>
        <sz val="9.5"/>
        <color theme="1"/>
        <rFont val="Calibri"/>
        <family val="2"/>
        <scheme val="minor"/>
      </rPr>
      <t>– No caso da jornada 12x36, o eventual intervalo de descanso suprimido ou indenizado se restringirá à incidência de 50% sobre o período suprimido.                                                                                                                                                                                                                                                                                                    Observe que a norma coletiva é clara ao determinar o pagamento apenas dos 50% sobre o valor da hora intrajornada, sendo que, a citada cláusula possui embasamento legal no artigo 611-A, inciso III da CLT, que determina que a norma coletiva tem prevalência sobre a Lei quando tratar sobre o intervalo intrajornada:
Art. 611-A. A convenção coletiva e o acordo coletivo de trabalho têm prevalência sobre a lei quando, entre outros, dispuserem sobre:
III - intervalo intrajornada, respeitado o limite mínimo de trinta minutos para jornadas superiores a seis horas; 
Nesse sentido, esta empresa ao provisionar o valor em questão, seguiu o determinado na CCT, cotando apenas o custo do adicional de 50%, já que a cláusula 36ª. determina que em razão da compensação não existe a previsão do pagamento de Horas Extras.                                                                                                                                                          Por fim, vale a pena lembrar  que em licitações realizadas recentemente pela Administração Pública Federal, os valores provisionados pela empresas licitantes, inclusive a atual prestadora dos serviços objeto do presente edital, para a rubrica da indenização da hora de intrajornada foram acatados no âmbito das licitações públicas, conforme relação abaixo:                                                                                                                                                                                                                                                                               - Departamento de Polícia Federal – Pregão 018/2020
- Fundação Nacional do Índio – Pregão 03/2020
- Tribunal de Contas do Distrito Federal – Pregão 017/2020</t>
    </r>
  </si>
  <si>
    <t xml:space="preserve">Art.   473   da   CLT   descreve   as   motivações   de   faltas   de empregados   ao   serviço   sem   que   haja   prejuízo   do   salário correspondente. São eles: por morte do cônjuge, ascendente ou descendente;   registro   de   nascimento   de   filho;     casamento; doação  de  sangue;  alistamento  eleitoral;   exigência  do  serviço militar.   Arts.   473,   I   a   IX,   e   822   da   CLT.   MEMÓRIA DE CÁLCULO: (2,96d/30d/12m)x3%x100 = 0,02% </t>
  </si>
  <si>
    <t>(O art. 27 do Decreto nº 89.312/84 obriga o empregador a assumir o ônus financeiro pelo prazo de 15 dias, no caso de acidente de trabalho previsto no art. 131 da CLT. De acordo com estatísticas dessa empresa em média menos de  1% dos empregados se acidentam no trabalho no ano. Assim a provisão corresponde a: MEMÓRIA DE CÁLCULO:(15 ÷ 30 ÷ 12 x 0,01 x 100 = 0,04%): 0,04%</t>
  </si>
  <si>
    <t>Corresponde  ao  valor  repassado  para  pagar  ao  funcionário enquanto este não trabalha, pois ele percebe o salário referente a 30  dias  de  serviço,  dos  quais  07  (sete)  ele  tem  direito  a ausentar‐se   para   procurar   outro   emprego   ou,   se   preferir, trabalhar   duas   horas   a   menos   por   dia   durante   o   mês.   / [(100%/30) x 7]/ 12 = 1,94% Onde: 100% = salário integral / 30 = número de dias no mês / 7 = número de dias de aviso prévio a que  o  empregado  tem  direito  de  se  ausentar  /  12  =  número de meses no ano /Fonte: Acórdão TCU - Plenário nº 1513/2013, Acórdão  TCU  -  Plenário  nº  1904/2007,  e  Acórdão  TCU  – Plenário nº 3006/2010. Segundo o TCU esse percentual é o máximo a ser admitido para cotação nas planilhas de custos e formação de preços. Porém, em razão da CCT da Categoria, prever que os empregados terão direito a continuidade na contratação dos serviços, é quase nula a demissão dos empregados terceirizados nessa situação. Logo a provisão desta empresa representa: [(100%/30) x 7]/ 12 = 1,94%*2% =  0,04 %.</t>
  </si>
  <si>
    <r>
      <rPr>
        <b/>
        <sz val="10"/>
        <color rgb="FFFF0000"/>
        <rFont val="Arial"/>
        <family val="2"/>
      </rPr>
      <t xml:space="preserve">JUSTIFICATIVA: </t>
    </r>
    <r>
      <rPr>
        <b/>
        <sz val="10"/>
        <rFont val="Arial"/>
        <family val="2"/>
      </rPr>
      <t>SOBRE O AVISO PRÉVIO INDENIZADO:</t>
    </r>
    <r>
      <rPr>
        <sz val="10"/>
        <rFont val="Arial"/>
        <family val="2"/>
      </rPr>
      <t xml:space="preserve"> Como descrito na justificativa apresentada por esta empresa, esse trata de valor devido ao empregado no caso de o empregador rescindir o contrato sem justo motivo e sem lhe conceder o prazo para o cumprimento do aviso prévio. 
Antes de mais nada, vale ressaltar que na atual conjuntura econômica de nosso País, o percentual de casos em que esta e qualquer outra empresa de qualquer ramo econômico ofereça a indenização de aviso prévio é quase nula, ocorrendo em casos extremamente raros, já que dispor de um salário integral, acrescidos das demais verbas trabalhistas sem a compensatória prestação de serviços, onera demais o passivo trabalhista de qualquer empresa, prejudicando assim a operacionalização dos serviços, bem como sua saúde financeira.
Além do mais, com o advindo da reforma trabalhista em 2017, pela Lei 13.467/2017, se regularizou uma prática já corriqueira entre empregado e empregador, onde ambos estabeleciam um acordo para dispensa do empregado, já que o empregado queria sair da empresa mas não queria perder direitos, a reforma veio com objetivo de diminuir o valor das verbas trabalhistas e assim possibilitar a dispensa já que existia interesse recíproco.
O artigo 484-A dispõe que “o contrato de trabalho poderá ser extinto por acordo entre empregado e empregador (…)”.
Tendo em vista a nova previsão no diploma trabalhista, o aviso prévio se indenizado será pago pela metade e a indenização sobre o saldo do FGTS de 20%, sendo limitado a 80% do valor do depósito (artigo 484-A, § 1º da CLT) as demais verbas serão pagas da mesma forma como anterior a nova Lei, indenização fundiária, o saldo de salário (valor devido pelos dias trabalhados no mês da dispensa); o 13º salário proporcional aos meses trabalhados no respectivo ano; e férias vencidas e/ou proporcionais acrescidas do terço constitucional. Não sendo permitido o recebimento do seguro desemprego. (Artigo 484-A, § 2º da CLT).
Ou seja, além de ser remota a dispensa do empregado a fim de pagamento do aviso prévio indenizado, a Nova Lei Trabalhista ainda prevê que tal prática seja de comum acordo entre o emprego e empregador, razão pela qual, a provisão de 1% dos empregados nessa situação ser suficiente para cumprir com o exigido no edital de licitação.
</t>
    </r>
    <r>
      <rPr>
        <b/>
        <sz val="10"/>
        <rFont val="Arial"/>
        <family val="2"/>
      </rPr>
      <t xml:space="preserve">D - SOBRE O AVISO PRÉVIO TRABALHADO: Como descrito na justificativa, a CCT da Categoria prevê em sua Cláusula Vigésima Nona o seguinte:
"POLÍTICAS DE MANUTENÇÃO DO EMPREGO
CLÁUSULA TRIGÉSIMA SEXTA - INCENTIVO À CONTINUIDADE
Fica pactuado que as empresas que sucederem outras na prestação do mesmo serviço, em razão de nova licitação pública ou novo contrato administrativo ou particular e/ou contrato emergencial, ficarão obrigadas a contratar os empregados da empresa anterior respeitando todas as estabilidades legais, inclusive as gestantes; membros de CIPA; e todos os demais funcionários que na data do desligamento possua qualquer tipo de estabilidade legal e/ou funcional, sem descontinuidade quanto ao pagamento dos salários e a prestação dos serviços, limitado ao quantitativo de empregados do novo contrato, obrigando as empresas que perderem o contrato a comunicar o fato ao sindicato laboral, inclusive por correspondência eletrônica, até 20 (vinte) dias antes do final do mesmo.
.............
§ 3º - Item IV - A empresa que está perdendo o contrato de prestação de serviços fica desobrigada do pagamento do aviso prévio e suas respectivas projeções, conforme previsto  no art. 12º das Leis nº 13.932/2019, obrigando-se, entretanto, a pagar as demais verbas rescisórias, sendo que a multa fundiária (art. 4º Decreto nº 99.684/90), será calculada no percentual de 40% do FGTS devido ao empregado. "
Sendo assim, caso essa empresa venha a perder o contrato futuramente, outra empresa passará a ser sucessora dos serviços e estará obrigada a contratar todos os empregados lotados na frente de serviços, sendo que esta não será obrigada a pagar o aviso prévio trabalhado, conforme descrito na Cláusula da CCT acima, razão pela qual, a previsão de 2% para esse custo é mais do que suficiente para cumprir com o exigido no edital em referência.
</t>
    </r>
  </si>
  <si>
    <t xml:space="preserve">JUSTIFICATIVA: SOBRE O AVISO PRÉVIO INDENIZADO: Esse trata de valor devido ao empregado no caso de o empregador rescindir o contrato sem justo motivo e sem lhe conceder o prazo para o cumprimento do aviso prévio. 
Antes de mais nada, vale ressaltar que na atual conjuntura econômica de nosso País, o percentual de casos em que esta e qualquer outra empresa de qualquer ramo econômico ofereça a indenização de aviso prévio é quase nula, ocorrendo em casos extremamente raros, já que dispor de um salário integral, acrescidos das demais verbas trabalhistas sem a compensatória prestação de serviços, onera demais o passivo trabalhista de qualquer empresa, prejudicando assim a operacionalização dos serviços, bem como sua saúde financeira.
Além do mais, com o advindo da reforma trabalhista em 2017, pela Lei 13.467/2017, se regularizou uma prática já corriqueira entre empregado e empregador, onde ambos estabeleciam um acordo para dispensa do empregado, já que o empregado queria sair da empresa mas não queria perder direitos, a reforma veio com objetivo de diminuir o valor das verbas trabalhistas e assim possibilitar a dispensa já que existia interesse recíproco.
O artigo 484-A dispõe que “o contrato de trabalho poderá ser extinto por acordo entre empregado e empregador (…)”.
Tendo em vista a nova previsão no diploma trabalhista, o aviso prévio se indenizado será pago pela metade e a indenização sobre o saldo do FGTS de 20%, sendo limitado a 80% do valor do depósito (artigo 484-A, § 1º da CLT) as demais verbas serão pagas da mesma forma como anterior a nova Lei, indenização fundiária, o saldo de salário (valor devido pelos dias trabalhados no mês da dispensa); o 13º salário proporcional aos meses trabalhados no respectivo ano; e férias vencidas e/ou proporcionais acrescidas do terço constitucional. Não sendo permitido o recebimento do seguro desemprego. (Artigo 484-A, § 2º da CLT).
Ou seja, além de ser remota a dispensa do empregado a fim de pagamento do aviso prévio indenizado, a Nova Lei Trabalhista ainda prevê que tal prática seja de comum acordo entre o emprego e empregador, razão pela qual, a provisão de 1% dos empregados nessa situação ser suficiente para cumprir com o exigido no edital de licitação.
D - SOBRE O AVISO PRÉVIO TRABALHADO: Como descrito na justificativa, a CCT da Categoria prevê em sua Cláusula Vigésima Nona o seguinte:
"POLÍTICAS DE MANUTENÇÃO DO EMPREGO
CLÁUSULA TRIGÉSIMA SEXTA - INCENTIVO À CONTINUIDADE
Fica pactuado que as empresas que sucederem outras na prestação do mesmo serviço, em razão de nova licitação pública ou novo contrato administrativo ou particular e/ou contrato emergencial, ficarão obrigadas a contratar os empregados da empresa anterior respeitando todas as estabilidades legais, inclusive as gestantes; membros de CIPA; e todos os demais funcionários que na data do desligamento possua qualquer tipo de estabilidade legal e/ou funcional, sem descontinuidade quanto ao pagamento dos salários e a prestação dos serviços, limitado ao quantitativo de empregados do novo contrato, obrigando as empresas que perderem o contrato a comunicar o fato ao sindicato laboral, inclusive por correspondência eletrônica, até 20 (vinte) dias antes do final do mesmo.
.............
§ 3º - Item IV - A empresa que está perdendo o contrato de prestação de serviços fica desobrigada do pagamento do aviso prévio e suas respectivas projeções, conforme previsto  no art. 12º das Leis nº 13.932/2019, obrigando-se, entretanto, a pagar as demais verbas rescisórias, sendo que a multa fundiária (art. 4º Decreto nº 99.684/90), será calculada no percentual de 40% do FGTS devido ao empregado. "
Além do mais, o edital em seu subitem 29.12 do TR do Edital, menciona que em caso a CCT da Categoria preveja a cláusula de Incentivo a Continuidade, a mesma será obrigada a contratar todos os empregados da empresa anterio. Sendo assim, caso essa empresa venha a perder o contrato futuramente, outra empresa passará a ser sucessora dos serviços e estará obrigada a contratar todos os empregados lotados na frente de serviços, sendo que esta não será obrigada a pagar o aviso prévio trabalhado, conforme descrito na Cláusula da CCT acima, razão pela qual, a previsão de 2% para esse custo é mais do que suficiente para cumprir com o exigido no edital em referência.
</t>
  </si>
  <si>
    <t>Coldre para revólver cal. 38, interno, de cintura, com presilha ou passador de cinta, em cordura</t>
  </si>
  <si>
    <t>Munição calibre 38 para duas cargas;</t>
  </si>
  <si>
    <t>Incidência do Submódulo 2.2</t>
  </si>
  <si>
    <t>Valor do Lance</t>
  </si>
  <si>
    <t>Desconto para adequação da proposta ao lance</t>
  </si>
  <si>
    <t>VALOR PROPOSTO POR EMPREGADO</t>
  </si>
  <si>
    <t>QUANT. EMPREGADO POR POSTO</t>
  </si>
  <si>
    <t>VALOR PROPOSTO POR POSTO</t>
  </si>
  <si>
    <t>3. QUADRO RESUMO DO VALOR MENSAL DOS SERVIÇOS</t>
  </si>
  <si>
    <t>4. QUADRO DEMONSTRATIVO DO VALOR GLOBAL DA PROPOSTA</t>
  </si>
  <si>
    <t>ESCALA DE TRABALHO</t>
  </si>
  <si>
    <t>Vigilância armada diurna de 12hx36h de Segunda-Feira a Domingo.</t>
  </si>
  <si>
    <t>Vigilância armada noturna de 12hx36h de Segunda-Feira a Domingo.</t>
  </si>
  <si>
    <t>Vigilância armada diurna de 44 (quarenta e quatro) horas semanais, de segunda a sexta-feira</t>
  </si>
  <si>
    <t>Vigilância desarmada diurna de 44 (quarenta e quatro) horas semanais, de segunda a sexta-feira</t>
  </si>
  <si>
    <t>PREÇO MENSAL DO POSTO</t>
  </si>
  <si>
    <t>NÚMERO DE POSTO</t>
  </si>
  <si>
    <t>ANEXO IV - MEMÓRIA DE CÁLCULOS UNIFORMES</t>
  </si>
  <si>
    <t xml:space="preserve">ANEXO IV - MEMÓRIA DE CÁLCULOS DOS EQUIPAMENTOS </t>
  </si>
  <si>
    <t>MEMÓRIA DE CÁLCULO  DA PLANILHA DE CUSTOS E FORMAÇÃO DE PREÇOS</t>
  </si>
  <si>
    <r>
      <t xml:space="preserve">A cláudula 10ª. da CCT firmada entre SINDESP-DF x SINDESV-DF traz o seguinte comando para o cálculo referente ao Adicional Noturno, vejamos: 
</t>
    </r>
    <r>
      <rPr>
        <b/>
        <sz val="9.5"/>
        <rFont val="Calibri"/>
        <family val="2"/>
        <scheme val="minor"/>
      </rPr>
      <t>CLÁUSULA DÉCIMA - ADICIONAL NOTURNO NA ESCALA 12X36</t>
    </r>
    <r>
      <rPr>
        <sz val="9.5"/>
        <rFont val="Calibri"/>
        <family val="2"/>
        <scheme val="minor"/>
      </rPr>
      <t xml:space="preserve"> - O adicional noturno obedecerá a legislação vigente, sendo que o seu cálculo será efetuado dividindo-se o salário por 220 (duzentas e vinte) horas, não havendo prorrogação da jornada noturna (compreendida entre 22h e 5h), independente da continuidade dos serviços, que será pago com o adicional de 20% sobre a hora normal, não sendo devido o adicional noturno sobre as horas laboradas após as 05 horas da manhã (artigo 59- A da CLT).
</t>
    </r>
    <r>
      <rPr>
        <b/>
        <sz val="9.5"/>
        <rFont val="Calibri"/>
        <family val="2"/>
        <scheme val="minor"/>
      </rPr>
      <t>Parágrafo Primeiro</t>
    </r>
    <r>
      <rPr>
        <sz val="9.5"/>
        <rFont val="Calibri"/>
        <family val="2"/>
        <scheme val="minor"/>
      </rPr>
      <t xml:space="preserve"> – Considere-se noturno o trabalho executado entre as 22 (vinte e duas) horas de um dia e as 5 (cinco) horas do dia seguinte, sendo a hora noturno computada como de 52m30s (cinquenta e dois minutos e trinta e segundos).
A Consolidação das Leis do Trabalho estabelece em seu artigo 73 que o trabalho noturno deverá ser remunerado em 20% a mais que o diurno e que considera-se noturno o trabalho compreendido entre 22 e 05 horas:
Art. 73. Salvo nos casos de revezamento semanal ou quinzenal, o trabalho noturno terá remuneração superior à do diurno e, para esse efeito, sua remuneração terá um acréscimo de 20 % (vinte por cento), pelo menos, sobre a hora diurna.
§ 1º A hora do trabalho noturno será computada como de 52 minutos e 30 segundos.
§ 2º Considera-se noturno, para os efeitos deste artigo, o trabalho executado entre as 22 horas de um dia e as 5 horas do dia seguinte.
Faz-se  necessário frisar que o vigilante cumpre uma jornada de trabalho de 12 horas consecutivas de trabalho e 36 horas de descanso remunerado.
Esta jornada primeiramente foi criada no âmbito das convenções coletivas de trabalho e posteriormente foi regulamentado no artigo 59‐A da CLT.
O profissional que trabalha em jornada de 12x36 horas possui uma escala mais benéfica que aquele que labora 44 horas semanais, visto que ao final do mês terá trabalhado aproximadamente 180 horas enquanto que o segundo terá trabalhado aproximadamente 220 horas.
O labor realizado entre as 22 e as 05 horas não implica em nenhuma hipótese no pagamento de mais uma hora de trabalho com o acréscimo dos 20% do adicional noturno. Neste caso é devido apenas o adicional de 20% para o trabalho realizado neste horário, visto que o trabalhador já está sendo remunerado em seu salário pelas 12 horas de trabalho do plantão. Portanto, o trabalho realizado pelo vigilante noturno 12x36 entre as 22 e as 05 horas não compreende a realização de horas extras, sendo aplicável apenas os 20% do adicional noturno.
Além disso, recentemente tivemos essa interpretação defendida pelo </t>
    </r>
    <r>
      <rPr>
        <b/>
        <sz val="9.5"/>
        <rFont val="Calibri"/>
        <family val="2"/>
        <scheme val="minor"/>
      </rPr>
      <t>Acórdão 2243/2019 – TCU – Plenário</t>
    </r>
    <r>
      <rPr>
        <sz val="9.5"/>
        <rFont val="Calibri"/>
        <family val="2"/>
        <scheme val="minor"/>
      </rPr>
      <t xml:space="preserve">, que decidiu “....a hora noturna correspondente a 52 minutos e 30 segundos, no período compreendido entre 22h de um dia e 5h do dia seguinte, deve ser considerada tão somente para fins de cálculo do adicional noturno, não repercutindo na jornada de trabalho...” 
</t>
    </r>
  </si>
  <si>
    <t>Nº do processo: SEI nº 000315/20-11.00</t>
  </si>
  <si>
    <t>Nº do processo:  SEI nº 000315/20-11.00</t>
  </si>
  <si>
    <t>Licitação nº: 07/2020</t>
  </si>
  <si>
    <t>Licitação nº:  07/2020</t>
  </si>
  <si>
    <r>
      <rPr>
        <b/>
        <sz val="10"/>
        <color theme="1"/>
        <rFont val="Calibri"/>
        <family val="2"/>
        <scheme val="minor"/>
      </rPr>
      <t xml:space="preserve">TRIBUTOS - </t>
    </r>
    <r>
      <rPr>
        <b/>
        <sz val="10"/>
        <color rgb="FFFF0000"/>
        <rFont val="Calibri"/>
        <family val="2"/>
        <scheme val="minor"/>
      </rPr>
      <t>EMPRESA OPTANTE PELO LUCRO REAL:</t>
    </r>
    <r>
      <rPr>
        <sz val="10"/>
        <color theme="1"/>
        <rFont val="Calibri"/>
        <family val="2"/>
        <scheme val="minor"/>
      </rPr>
      <t xml:space="preserve">
declara, para os devidos fins, de acordo com o previsto no item 6.1.1.7, que será adotado durante a execução do contrato, o Regime de Tributação pelo Lucro Real.
Declaro ainda, que as empresas de vigilância regulamentadas pela Lei 7.102/83 permaneceram com as alíquotas de 1,65% para PIS e 0,65% para COFINS, independentemente de serem optantes pelo Lucro Real ou Presumido, não sendo possível o aproveitamento de créditos tributários nesse caso, conforme dispositivo de Lei descrito abaixo:
Lei 10.637/2002
Art. 8º. Permanecem sujeitas às normas da legislação da contribuição para o PIS/Pasep, vigentes anteriormente a esta Lei, não se lhes aplicando as disposições dos arts. 1º. a 6º.:
I – as pessoas jurídicas referidas nos §§ 6º., 8º. e 9º. do art. 3º. da Lei no 9.718, de 27 de novembro de 1998 (parágrafos introduzidos pela Medida Provisória no. 2.158-35, de 24 de agosto de 2001), e Lei no. 7.102, de 20 de junho de 1983;
Lei 10.833/03
Art. 10. Permanecem sujeitas às normas da legislação da COFINS, vigentes anteriormente a esta Lei, não se lhes aplicando as disposições dos arts. 1º. a 8º.:
I - as pessoas jurídicas referidas nos §§ 6º., 8º. e 9º. do art. 3º. da Lei no 9.718, de 1998, e na Lei N.  7.102, de 20 de junho de 1983;
Segue em anexo a Planilha de apuração do percentual médio de PIS e COFINS dos últimos 12 (doze) meses para fins de comprovação das alíquotas recolhidas por esta empresa, bem como os documentos ficais encaminhados à Receita Federal.</t>
    </r>
  </si>
  <si>
    <r>
      <t xml:space="preserve">TELEFONE: </t>
    </r>
    <r>
      <rPr>
        <sz val="12"/>
        <rFont val="Arial Narrow"/>
        <family val="2"/>
      </rPr>
      <t>61-3386-8878</t>
    </r>
    <r>
      <rPr>
        <b/>
        <sz val="12"/>
        <rFont val="Arial Narrow"/>
        <family val="2"/>
      </rPr>
      <t xml:space="preserve"> -                                                        EMAIL: </t>
    </r>
    <r>
      <rPr>
        <sz val="12"/>
        <rFont val="Arial Narrow"/>
        <family val="2"/>
      </rPr>
      <t>vippimezpcomercial@gmail.com</t>
    </r>
  </si>
  <si>
    <t>Valor Annual</t>
  </si>
  <si>
    <t>UN</t>
  </si>
  <si>
    <t>Par</t>
  </si>
  <si>
    <t>peça</t>
  </si>
  <si>
    <t>par</t>
  </si>
  <si>
    <t>Qtde Annual a ser fornecida</t>
  </si>
  <si>
    <t>Vida útil estimada</t>
  </si>
  <si>
    <t xml:space="preserve">UN </t>
  </si>
  <si>
    <t xml:space="preserve">Vida útil estimada </t>
  </si>
  <si>
    <t>un</t>
  </si>
  <si>
    <t>(Novecentos e noventa e quatro mil, quinhentos e oitenta e seis reais e trinta e oito centavos).</t>
  </si>
  <si>
    <t>(Oitenta e dois mil, oitocentos e oitenta e dois reais e dezessete centavos).</t>
  </si>
  <si>
    <t>(Novecentos e noventa e quatro mil, quinhentos e oitenta e seis reais).</t>
  </si>
  <si>
    <t>(trinta e oito centavos).</t>
  </si>
  <si>
    <t xml:space="preserve">    B - Adicional de Férias</t>
  </si>
  <si>
    <t>Multa do FGTS nas rescisões sem justa causa -  (Trata da multa de 40% que o empregado tem direito no caso das seguintes rescisões: 1) Rescisão Atencipada, pelo empregador, do contrato de trabalho; 2) Despedida sem justa causa, pelo empregador; 3) Despedida sem justa causa pelo empregador; 4) Rescisão indireta pelo empregador) e da Multa de 20% nas seguintes resciões: 1) Rescisão por culpa recíproca; 2) Rescisão por força maior; 3) Acordo empregado / empregador; e não há a aplicação de multa nas seguintes rescisões:  1) Rescisão do contrato de trabalho por falecimento do empregado; 2) Despedida por justa causa pelo empregador; 3) Extinção normal do contrato de trabalho por prazo determinado; 3) Rescisão antecipada, pelo empregado, do contrato de trabalho; 4) Rescisão contratual a pedido do empregado.  Portanto, apesar da IN 05 prever o percentual da multa de 40% sobre o Aviso Prévio Trabalhado, na verdade essa multa se dá sobre os depósitos do FGTS nos casos de rescisão sem justa causa, conforme justificado acima, vimos que a realidade referente ao percentual dessa multa é outro, já que não são todos os tipos de rescisões que prevêm a multa no percentual de 40%, como vimos, existem a multa de 20% e também existe a rescisão sem a previsão de multa. Desta forma,  tendo em vista que a média de 84,70% dos empregados desta empresa são demitidos fazendo juz a multa de 40%,  a provisão para esse item representa: (0,08*0,4)*0,847*(1+5/56+5/56+(1/3*5/56)) = 3,28%</t>
  </si>
  <si>
    <t>Brasília - DF, 16 de setembro de 2020.</t>
  </si>
  <si>
    <t>PLANILHA DE RESERVA MENSAL PARA PAGAMENTO CONTA VINCULADA</t>
  </si>
  <si>
    <t xml:space="preserve">CÁLCULOS PARA SOLICITAÇÃO DE DESCONTINGENCIAMENTO DA CONTA VINCULADA </t>
  </si>
  <si>
    <t>Nº</t>
  </si>
  <si>
    <t>Funcionario</t>
  </si>
  <si>
    <t>Turno</t>
  </si>
  <si>
    <t>DATA DE ENTRADA NO TRF</t>
  </si>
  <si>
    <t>Salário 2020</t>
  </si>
  <si>
    <t>Periculo-sidade</t>
  </si>
  <si>
    <t>Adicional Noturno</t>
  </si>
  <si>
    <t>Súmula 444 TST</t>
  </si>
  <si>
    <t>Folguista</t>
  </si>
  <si>
    <t>Remuneração, horas extras, Periculosidade, Adicional Noturno, Súmula 444</t>
  </si>
  <si>
    <t>13º SALÁRIO - 8,33%</t>
  </si>
  <si>
    <t>Qtde de Meses (retido)</t>
  </si>
  <si>
    <t>Subtotal 13º salário</t>
  </si>
  <si>
    <t>FÉRIAS - 11,11%</t>
  </si>
  <si>
    <t>Encargos (35,30%)</t>
  </si>
  <si>
    <t>Período Aquisitivo</t>
  </si>
  <si>
    <t>Período de Gozo</t>
  </si>
  <si>
    <t>Subtotal Férias</t>
  </si>
  <si>
    <t>MULTA FGTS - 5%</t>
  </si>
  <si>
    <t>GRUPO A SOBRE 13º E FÉRIAS (7,82%)</t>
  </si>
  <si>
    <t>Rescisão Multa</t>
  </si>
  <si>
    <t>Subtotal Multa</t>
  </si>
  <si>
    <r>
      <t xml:space="preserve">Total solicitado </t>
    </r>
    <r>
      <rPr>
        <b/>
        <sz val="8"/>
        <color indexed="8"/>
        <rFont val="Arial"/>
        <family val="2"/>
      </rPr>
      <t>RESSARCIMENTO</t>
    </r>
  </si>
  <si>
    <t>OBSERVAÇÃO</t>
  </si>
  <si>
    <t>não houve recisão</t>
  </si>
  <si>
    <t>NC</t>
  </si>
  <si>
    <t>Total</t>
  </si>
  <si>
    <t>Total Funcionarios Contratados</t>
  </si>
  <si>
    <t>TOTAIS</t>
  </si>
  <si>
    <r>
      <t>1) Funcionário</t>
    </r>
    <r>
      <rPr>
        <b/>
        <sz val="12"/>
        <rFont val="Arial"/>
        <family val="2"/>
      </rPr>
      <t xml:space="preserve"> A </t>
    </r>
    <r>
      <rPr>
        <sz val="11"/>
        <color theme="1"/>
        <rFont val="Calibri"/>
        <family val="2"/>
        <scheme val="minor"/>
      </rPr>
      <t xml:space="preserve">trabalhou no TRT até 5/8/16 e foi susbtituído </t>
    </r>
    <r>
      <rPr>
        <b/>
        <sz val="11"/>
        <rFont val="Arial"/>
        <family val="2"/>
      </rPr>
      <t>PERMANENTEMENTE</t>
    </r>
    <r>
      <rPr>
        <sz val="11"/>
        <color theme="1"/>
        <rFont val="Calibri"/>
        <family val="2"/>
        <scheme val="minor"/>
      </rPr>
      <t xml:space="preserve"> pelo funcionário</t>
    </r>
    <r>
      <rPr>
        <b/>
        <sz val="11"/>
        <rFont val="Arial"/>
        <family val="2"/>
      </rPr>
      <t xml:space="preserve"> F</t>
    </r>
    <r>
      <rPr>
        <sz val="11"/>
        <color theme="1"/>
        <rFont val="Calibri"/>
        <family val="2"/>
        <scheme val="minor"/>
      </rPr>
      <t xml:space="preserve"> a partir de 6/8/16.</t>
    </r>
  </si>
  <si>
    <r>
      <t>1) Funcionário</t>
    </r>
    <r>
      <rPr>
        <b/>
        <sz val="12"/>
        <rFont val="Arial"/>
        <family val="2"/>
      </rPr>
      <t xml:space="preserve"> D </t>
    </r>
    <r>
      <rPr>
        <sz val="11"/>
        <color theme="1"/>
        <rFont val="Calibri"/>
        <family val="2"/>
        <scheme val="minor"/>
      </rPr>
      <t xml:space="preserve">trabalhou no TRT até 31/10/16 e foi susbtituído </t>
    </r>
    <r>
      <rPr>
        <b/>
        <sz val="11"/>
        <rFont val="Arial"/>
        <family val="2"/>
      </rPr>
      <t>PERMANENTEMENTE</t>
    </r>
    <r>
      <rPr>
        <sz val="11"/>
        <color theme="1"/>
        <rFont val="Calibri"/>
        <family val="2"/>
        <scheme val="minor"/>
      </rPr>
      <t xml:space="preserve"> pelo funcionário</t>
    </r>
    <r>
      <rPr>
        <b/>
        <sz val="11"/>
        <rFont val="Arial"/>
        <family val="2"/>
      </rPr>
      <t xml:space="preserve"> E</t>
    </r>
    <r>
      <rPr>
        <sz val="11"/>
        <color theme="1"/>
        <rFont val="Calibri"/>
        <family val="2"/>
        <scheme val="minor"/>
      </rPr>
      <t xml:space="preserve"> a partir de 1/11/16.</t>
    </r>
  </si>
  <si>
    <t>Importante: Não há retenção para substitutos eventuais (férias, atestados, etc). Apenas para os funcionários efetivos.</t>
  </si>
  <si>
    <t>FATURAMENTO LÍQUIDO</t>
  </si>
  <si>
    <t>ISS</t>
  </si>
  <si>
    <t>CSSL</t>
  </si>
  <si>
    <t>IRRF</t>
  </si>
  <si>
    <t>PIS</t>
  </si>
  <si>
    <t>COFINS</t>
  </si>
  <si>
    <t>CONTA VINCULADA</t>
  </si>
  <si>
    <t>TOTAL LÍQUIDO</t>
  </si>
  <si>
    <t>COMISSÃO</t>
  </si>
  <si>
    <t>13X36 NOITE</t>
  </si>
  <si>
    <t>12X36 DIA</t>
  </si>
  <si>
    <t>44HS DIA</t>
  </si>
  <si>
    <t>MULTA - 3,44%</t>
  </si>
  <si>
    <t>QUADRO RESUMO DO CONTRATO Nº 11/2020</t>
  </si>
  <si>
    <t>CUSTO
UNITÁRIO
POR MÊS</t>
  </si>
  <si>
    <t>QTD DE
POSTOS</t>
  </si>
  <si>
    <t>QUANT
FUNC.
POR 
POSTO</t>
  </si>
  <si>
    <t>VALOR
MENSAL
POR
POSTO</t>
  </si>
  <si>
    <t>QTD DE
FUNCION.</t>
  </si>
  <si>
    <t>VALOR
TOTAL
MENSAL</t>
  </si>
  <si>
    <t>(Noventa e dois mil, duzentos e setenta e três reais e trinta e quatro centavos)</t>
  </si>
  <si>
    <t>DIFERENÇA DE REPACTUAÇÃO</t>
  </si>
  <si>
    <t>COMPETÊNCIA</t>
  </si>
  <si>
    <t>VALOR FATURADO</t>
  </si>
  <si>
    <t>VALOR REPACTUADO</t>
  </si>
  <si>
    <t>DIFERENÇA</t>
  </si>
  <si>
    <t>TOTAL DA DIFERENÇA:</t>
  </si>
  <si>
    <t>(Treze mil, oitocentos e cinquenta e sete reais e dezoito centavos)</t>
  </si>
  <si>
    <t xml:space="preserve">    B - Auxílio-Refeição/Alimentação</t>
  </si>
  <si>
    <t>2023</t>
  </si>
  <si>
    <t>MÊS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</si>
</sst>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R$&quot;\ #,##0;[Red]\-&quot;R$&quot;\ #,##0"/>
    <numFmt numFmtId="8" formatCode="&quot;R$&quot;\ #,##0.00;[Red]\-&quot;R$&quot;\ #,##0.00"/>
    <numFmt numFmtId="44" formatCode="_-&quot;R$&quot;\ * #,##0.00_-;\-&quot;R$&quot;\ * #,##0.00_-;_-&quot;R$&quot;\ * &quot;-&quot;??_-;_-@_-"/>
    <numFmt numFmtId="43" formatCode="_-* #,##0.00_-;\-* #,##0.00_-;_-* &quot;-&quot;??_-;_-@_-"/>
    <numFmt numFmtId="164" formatCode="_(* #,##0.00_);_(* \(#,##0.00\);_(* \-??_);_(@_)"/>
    <numFmt numFmtId="165" formatCode="_(* #,##0.00_);_(* \(#,##0.00\);_(* &quot;-&quot;??_);_(@_)"/>
    <numFmt numFmtId="166" formatCode="_(&quot;R$ &quot;* #,##0.00_);_(&quot;R$ &quot;* \(#,##0.00\);_(&quot;R$ &quot;* &quot;-&quot;??_);_(@_)"/>
    <numFmt numFmtId="167" formatCode="&quot;R$&quot;\ #,##0.00"/>
    <numFmt numFmtId="168" formatCode="&quot;R$ &quot;#,##0.00_);[Red]&quot;(R$ &quot;#,##0.00\)"/>
    <numFmt numFmtId="169" formatCode="0.000%"/>
    <numFmt numFmtId="170" formatCode="_([$€-2]* #,##0.00_);_([$€-2]* \(#,##0.00\);_([$€-2]* &quot;-&quot;??_)"/>
    <numFmt numFmtId="171" formatCode="00"/>
    <numFmt numFmtId="172" formatCode="_(&quot;R$&quot;* #,##0.00_);_(&quot;R$&quot;* \(#,##0.00\);_(&quot;R$&quot;* &quot;-&quot;??_);_(@_)"/>
    <numFmt numFmtId="173" formatCode="_(&quot;R$ &quot;* #,##0.00_);_(&quot;R$ &quot;* \(#,##0.00\);_(&quot;R$ &quot;* \-??_);_(@_)"/>
  </numFmts>
  <fonts count="122" x14ac:knownFonts="1">
    <font>
      <sz val="11"/>
      <color theme="1"/>
      <name val="Calibri"/>
      <family val="2"/>
      <scheme val="minor"/>
    </font>
    <font>
      <sz val="11"/>
      <color theme="1"/>
      <name val="Calibri"/>
      <family val="2"/>
      <scheme val="minor"/>
    </font>
    <font>
      <sz val="10"/>
      <name val="Arial"/>
      <family val="2"/>
    </font>
    <font>
      <b/>
      <sz val="10"/>
      <name val="Verdana"/>
      <family val="2"/>
    </font>
    <font>
      <sz val="10"/>
      <name val="Verdana"/>
      <family val="2"/>
    </font>
    <font>
      <u/>
      <sz val="10"/>
      <color indexed="12"/>
      <name val="Arial"/>
      <family val="2"/>
    </font>
    <font>
      <sz val="12"/>
      <name val="Times New Roman"/>
      <family val="1"/>
    </font>
    <font>
      <b/>
      <sz val="12"/>
      <name val="Verdana"/>
      <family val="2"/>
    </font>
    <font>
      <b/>
      <sz val="11"/>
      <name val="Verdana"/>
      <family val="2"/>
    </font>
    <font>
      <sz val="12"/>
      <name val="Verdana"/>
      <family val="2"/>
    </font>
    <font>
      <sz val="12"/>
      <name val="Arial"/>
      <family val="2"/>
    </font>
    <font>
      <b/>
      <sz val="9"/>
      <name val="Verdana"/>
      <family val="2"/>
    </font>
    <font>
      <b/>
      <sz val="12"/>
      <name val="Times New Roman"/>
      <family val="1"/>
      <charset val="1"/>
    </font>
    <font>
      <sz val="11"/>
      <color indexed="57"/>
      <name val="Times New Roman"/>
      <family val="1"/>
      <charset val="1"/>
    </font>
    <font>
      <b/>
      <sz val="10"/>
      <name val="Times New Roman"/>
      <family val="1"/>
      <charset val="1"/>
    </font>
    <font>
      <sz val="10"/>
      <name val="Times New Roman"/>
      <family val="1"/>
      <charset val="1"/>
    </font>
    <font>
      <sz val="8"/>
      <name val="Arial"/>
      <family val="2"/>
    </font>
    <font>
      <sz val="11"/>
      <color indexed="18"/>
      <name val="Times New Roman"/>
      <family val="1"/>
    </font>
    <font>
      <sz val="11"/>
      <color indexed="57"/>
      <name val="Times New Roman"/>
      <family val="1"/>
    </font>
    <font>
      <b/>
      <sz val="10"/>
      <name val="Arial"/>
      <family val="2"/>
    </font>
    <font>
      <sz val="10"/>
      <name val="Times New Roman"/>
      <family val="1"/>
    </font>
    <font>
      <sz val="11"/>
      <color indexed="8"/>
      <name val="Times New Roman"/>
      <family val="1"/>
    </font>
    <font>
      <sz val="10"/>
      <name val="Arial"/>
      <family val="2"/>
    </font>
    <font>
      <u/>
      <sz val="11"/>
      <color theme="10"/>
      <name val="Calibri"/>
      <family val="2"/>
    </font>
    <font>
      <sz val="11"/>
      <color indexed="8"/>
      <name val="Calibri"/>
      <family val="2"/>
    </font>
    <font>
      <b/>
      <sz val="18"/>
      <color indexed="56"/>
      <name val="Cambria"/>
      <family val="2"/>
    </font>
    <font>
      <b/>
      <sz val="15"/>
      <color indexed="56"/>
      <name val="Calibri"/>
      <family val="2"/>
    </font>
    <font>
      <sz val="12"/>
      <name val="Arial Narrow"/>
      <family val="2"/>
    </font>
    <font>
      <sz val="18"/>
      <color rgb="FF002060"/>
      <name val="Aharoni"/>
    </font>
    <font>
      <b/>
      <sz val="12"/>
      <name val="Arial Narrow"/>
      <family val="2"/>
    </font>
    <font>
      <sz val="12"/>
      <name val="Times New Roman"/>
      <family val="1"/>
    </font>
    <font>
      <b/>
      <i/>
      <sz val="12"/>
      <name val="Arial Narrow"/>
      <family val="2"/>
    </font>
    <font>
      <i/>
      <sz val="10"/>
      <name val="Times New Roman"/>
      <family val="1"/>
    </font>
    <font>
      <b/>
      <sz val="11"/>
      <color theme="1"/>
      <name val="Calibri"/>
      <family val="2"/>
      <scheme val="minor"/>
    </font>
    <font>
      <sz val="9"/>
      <name val="Arial"/>
      <family val="2"/>
    </font>
    <font>
      <b/>
      <sz val="11"/>
      <name val="Arial"/>
      <family val="2"/>
    </font>
    <font>
      <b/>
      <sz val="14"/>
      <name val="Arial"/>
      <family val="2"/>
    </font>
    <font>
      <b/>
      <sz val="9"/>
      <name val="Arial"/>
      <family val="2"/>
    </font>
    <font>
      <sz val="7"/>
      <color theme="1"/>
      <name val="Verdana"/>
      <family val="2"/>
    </font>
    <font>
      <b/>
      <sz val="10"/>
      <color indexed="20"/>
      <name val="Verdana"/>
      <family val="2"/>
    </font>
    <font>
      <sz val="10"/>
      <color indexed="10"/>
      <name val="Verdana"/>
      <family val="2"/>
    </font>
    <font>
      <sz val="10"/>
      <color indexed="57"/>
      <name val="Verdana"/>
      <family val="2"/>
    </font>
    <font>
      <b/>
      <sz val="10"/>
      <color indexed="57"/>
      <name val="Verdana"/>
      <family val="2"/>
    </font>
    <font>
      <sz val="10"/>
      <color indexed="18"/>
      <name val="Verdana"/>
      <family val="2"/>
    </font>
    <font>
      <sz val="10"/>
      <color indexed="8"/>
      <name val="Verdana"/>
      <family val="2"/>
    </font>
    <font>
      <b/>
      <sz val="12"/>
      <color theme="4" tint="-0.499984740745262"/>
      <name val="Verdana"/>
      <family val="2"/>
    </font>
    <font>
      <b/>
      <sz val="10"/>
      <color indexed="8"/>
      <name val="Arial"/>
      <family val="2"/>
    </font>
    <font>
      <b/>
      <sz val="9"/>
      <color indexed="8"/>
      <name val="Arial"/>
      <family val="2"/>
    </font>
    <font>
      <sz val="7"/>
      <color indexed="8"/>
      <name val="Arial"/>
      <family val="2"/>
    </font>
    <font>
      <sz val="10"/>
      <color indexed="8"/>
      <name val="Arial"/>
      <family val="2"/>
    </font>
    <font>
      <sz val="7"/>
      <name val="Arial"/>
      <family val="2"/>
    </font>
    <font>
      <sz val="11"/>
      <name val="Calibri"/>
      <family val="2"/>
      <scheme val="minor"/>
    </font>
    <font>
      <i/>
      <sz val="11"/>
      <color theme="1"/>
      <name val="Calibri"/>
      <family val="2"/>
      <scheme val="minor"/>
    </font>
    <font>
      <i/>
      <sz val="12"/>
      <name val="Arial"/>
      <family val="2"/>
    </font>
    <font>
      <b/>
      <i/>
      <sz val="10"/>
      <name val="Arial Narrow"/>
      <family val="2"/>
    </font>
    <font>
      <i/>
      <sz val="10"/>
      <name val="Arial"/>
      <family val="2"/>
    </font>
    <font>
      <b/>
      <sz val="9"/>
      <color indexed="10"/>
      <name val="Arial"/>
      <family val="2"/>
    </font>
    <font>
      <sz val="9"/>
      <color rgb="FFC00000"/>
      <name val="Arial"/>
      <family val="2"/>
    </font>
    <font>
      <b/>
      <sz val="10"/>
      <color indexed="18"/>
      <name val="Verdana"/>
      <family val="2"/>
    </font>
    <font>
      <sz val="10"/>
      <color theme="0" tint="-0.14999847407452621"/>
      <name val="Verdana"/>
      <family val="2"/>
    </font>
    <font>
      <sz val="11"/>
      <color rgb="FF000000"/>
      <name val="Roboto"/>
    </font>
    <font>
      <b/>
      <sz val="11"/>
      <color indexed="18"/>
      <name val="Times New Roman"/>
      <family val="1"/>
    </font>
    <font>
      <b/>
      <i/>
      <sz val="9"/>
      <name val="Arial"/>
      <family val="2"/>
    </font>
    <font>
      <b/>
      <i/>
      <sz val="14"/>
      <name val="Arial Narrow"/>
      <family val="2"/>
    </font>
    <font>
      <b/>
      <i/>
      <sz val="10"/>
      <name val="Times New Roman"/>
      <family val="1"/>
    </font>
    <font>
      <b/>
      <i/>
      <sz val="8"/>
      <color indexed="8"/>
      <name val="Times New Roman"/>
      <family val="1"/>
    </font>
    <font>
      <b/>
      <i/>
      <sz val="8"/>
      <name val="Times New Roman"/>
      <family val="1"/>
    </font>
    <font>
      <b/>
      <sz val="10"/>
      <name val="Times New Roman"/>
      <family val="1"/>
    </font>
    <font>
      <b/>
      <sz val="10"/>
      <color rgb="FFFF0000"/>
      <name val="Times New Roman"/>
      <family val="1"/>
    </font>
    <font>
      <b/>
      <sz val="10"/>
      <color rgb="FFFF0000"/>
      <name val="Verdana"/>
      <family val="2"/>
    </font>
    <font>
      <b/>
      <sz val="7"/>
      <color rgb="FFFF0000"/>
      <name val="Verdana"/>
      <family val="2"/>
    </font>
    <font>
      <b/>
      <i/>
      <sz val="10"/>
      <color rgb="FFFF0000"/>
      <name val="Verdana"/>
      <family val="2"/>
    </font>
    <font>
      <sz val="10"/>
      <color rgb="FF000000"/>
      <name val="Times New Roman"/>
      <family val="1"/>
    </font>
    <font>
      <sz val="10"/>
      <color theme="1"/>
      <name val="Calibri"/>
      <family val="2"/>
      <scheme val="minor"/>
    </font>
    <font>
      <b/>
      <sz val="10"/>
      <color rgb="FFFF0000"/>
      <name val="Arial"/>
      <family val="2"/>
    </font>
    <font>
      <b/>
      <i/>
      <sz val="10"/>
      <color rgb="FFFF0000"/>
      <name val="Times New Roman"/>
      <family val="1"/>
    </font>
    <font>
      <b/>
      <i/>
      <sz val="8"/>
      <color rgb="FFFF0000"/>
      <name val="Times New Roman"/>
      <family val="1"/>
    </font>
    <font>
      <b/>
      <sz val="12"/>
      <name val="Arial"/>
      <family val="2"/>
    </font>
    <font>
      <sz val="11"/>
      <name val="Arial"/>
      <family val="2"/>
    </font>
    <font>
      <b/>
      <sz val="8"/>
      <name val="Verdana"/>
      <family val="2"/>
    </font>
    <font>
      <sz val="10"/>
      <color rgb="FF000000"/>
      <name val="Roboto"/>
    </font>
    <font>
      <b/>
      <sz val="9.5"/>
      <name val="Times New Roman"/>
      <family val="1"/>
    </font>
    <font>
      <sz val="9"/>
      <color theme="1"/>
      <name val="Calibri"/>
      <family val="2"/>
      <scheme val="minor"/>
    </font>
    <font>
      <b/>
      <sz val="9.5"/>
      <name val="Calibri"/>
      <family val="2"/>
      <scheme val="minor"/>
    </font>
    <font>
      <b/>
      <sz val="9"/>
      <name val="Calibri"/>
      <family val="2"/>
      <scheme val="minor"/>
    </font>
    <font>
      <b/>
      <sz val="10"/>
      <name val="Calibri"/>
      <family val="2"/>
      <scheme val="minor"/>
    </font>
    <font>
      <b/>
      <sz val="11"/>
      <name val="Calibri"/>
      <family val="2"/>
      <scheme val="minor"/>
    </font>
    <font>
      <b/>
      <sz val="10"/>
      <color rgb="FF000000"/>
      <name val="Calibri"/>
      <family val="2"/>
      <scheme val="minor"/>
    </font>
    <font>
      <sz val="10"/>
      <color rgb="FF000000"/>
      <name val="Calibri"/>
      <family val="2"/>
      <scheme val="minor"/>
    </font>
    <font>
      <sz val="9.5"/>
      <name val="Calibri"/>
      <family val="2"/>
      <scheme val="minor"/>
    </font>
    <font>
      <u/>
      <sz val="9.5"/>
      <name val="Calibri"/>
      <family val="2"/>
      <scheme val="minor"/>
    </font>
    <font>
      <sz val="9.5"/>
      <color rgb="FF000000"/>
      <name val="Calibri"/>
      <family val="2"/>
      <scheme val="minor"/>
    </font>
    <font>
      <u/>
      <sz val="9.5"/>
      <color rgb="FF0000ED"/>
      <name val="Calibri"/>
      <family val="2"/>
      <scheme val="minor"/>
    </font>
    <font>
      <sz val="9.5"/>
      <color rgb="FF0000ED"/>
      <name val="Calibri"/>
      <family val="2"/>
      <scheme val="minor"/>
    </font>
    <font>
      <b/>
      <sz val="9.5"/>
      <color rgb="FF000000"/>
      <name val="Calibri"/>
      <family val="2"/>
      <scheme val="minor"/>
    </font>
    <font>
      <b/>
      <sz val="8.5"/>
      <name val="Calibri"/>
      <family val="2"/>
      <scheme val="minor"/>
    </font>
    <font>
      <sz val="9.5"/>
      <color theme="1"/>
      <name val="Calibri"/>
      <family val="2"/>
      <scheme val="minor"/>
    </font>
    <font>
      <b/>
      <u/>
      <sz val="9.5"/>
      <color rgb="FF0000FF"/>
      <name val="Calibri"/>
      <family val="2"/>
      <scheme val="minor"/>
    </font>
    <font>
      <b/>
      <sz val="9.5"/>
      <color rgb="FF0000FF"/>
      <name val="Calibri"/>
      <family val="2"/>
      <scheme val="minor"/>
    </font>
    <font>
      <b/>
      <sz val="12"/>
      <name val="Calibri"/>
      <family val="2"/>
      <scheme val="minor"/>
    </font>
    <font>
      <b/>
      <sz val="8"/>
      <name val="Calibri"/>
      <family val="2"/>
      <scheme val="minor"/>
    </font>
    <font>
      <sz val="11"/>
      <color rgb="FF000000"/>
      <name val="Calibri"/>
      <family val="2"/>
      <scheme val="minor"/>
    </font>
    <font>
      <sz val="12"/>
      <name val="Calibri"/>
      <family val="2"/>
      <scheme val="minor"/>
    </font>
    <font>
      <sz val="9"/>
      <name val="Calibri"/>
      <family val="2"/>
      <scheme val="minor"/>
    </font>
    <font>
      <b/>
      <u/>
      <sz val="9.5"/>
      <name val="Calibri"/>
      <family val="2"/>
      <scheme val="minor"/>
    </font>
    <font>
      <b/>
      <i/>
      <sz val="9.5"/>
      <color rgb="FFFF0000"/>
      <name val="Calibri"/>
      <family val="2"/>
      <scheme val="minor"/>
    </font>
    <font>
      <b/>
      <vertAlign val="superscript"/>
      <sz val="7.5"/>
      <name val="Calibri"/>
      <family val="2"/>
      <scheme val="minor"/>
    </font>
    <font>
      <b/>
      <sz val="9.5"/>
      <color theme="1"/>
      <name val="Calibri"/>
      <family val="2"/>
      <scheme val="minor"/>
    </font>
    <font>
      <b/>
      <u/>
      <sz val="10"/>
      <color theme="1"/>
      <name val="Calibri"/>
      <family val="2"/>
      <scheme val="minor"/>
    </font>
    <font>
      <b/>
      <sz val="10"/>
      <color theme="1"/>
      <name val="Calibri"/>
      <family val="2"/>
      <scheme val="minor"/>
    </font>
    <font>
      <sz val="10"/>
      <name val="Calibri"/>
      <family val="2"/>
      <scheme val="minor"/>
    </font>
    <font>
      <sz val="10"/>
      <color rgb="FFFF0000"/>
      <name val="Calibri"/>
      <family val="2"/>
      <scheme val="minor"/>
    </font>
    <font>
      <sz val="8"/>
      <color rgb="FF000000"/>
      <name val="Calibri"/>
      <family val="2"/>
      <scheme val="minor"/>
    </font>
    <font>
      <b/>
      <sz val="10"/>
      <color rgb="FFFF0000"/>
      <name val="Calibri"/>
      <family val="2"/>
      <scheme val="minor"/>
    </font>
    <font>
      <b/>
      <sz val="9"/>
      <color theme="1"/>
      <name val="Calibri"/>
      <family val="2"/>
      <scheme val="minor"/>
    </font>
    <font>
      <b/>
      <sz val="10"/>
      <color theme="1"/>
      <name val="Arial"/>
      <family val="2"/>
    </font>
    <font>
      <b/>
      <sz val="8"/>
      <color indexed="8"/>
      <name val="Arial"/>
      <family val="2"/>
    </font>
    <font>
      <b/>
      <sz val="10"/>
      <name val="Tahoma"/>
      <family val="2"/>
    </font>
    <font>
      <sz val="10"/>
      <color indexed="8"/>
      <name val="Calibri"/>
      <family val="2"/>
    </font>
    <font>
      <b/>
      <sz val="12"/>
      <color theme="1"/>
      <name val="Calibri"/>
      <family val="2"/>
      <scheme val="minor"/>
    </font>
    <font>
      <b/>
      <sz val="14"/>
      <name val="Arial Narrow"/>
      <family val="2"/>
    </font>
    <font>
      <b/>
      <sz val="16"/>
      <color rgb="FF000000"/>
      <name val="Calibri"/>
      <family val="2"/>
      <scheme val="minor"/>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51"/>
        <bgColor indexed="13"/>
      </patternFill>
    </fill>
    <fill>
      <patternFill patternType="solid">
        <fgColor indexed="9"/>
        <bgColor indexed="26"/>
      </patternFill>
    </fill>
    <fill>
      <patternFill patternType="solid">
        <fgColor indexed="44"/>
        <bgColor indexed="31"/>
      </patternFill>
    </fill>
    <fill>
      <patternFill patternType="solid">
        <fgColor indexed="22"/>
        <bgColor indexed="31"/>
      </patternFill>
    </fill>
    <fill>
      <patternFill patternType="solid">
        <fgColor indexed="42"/>
        <bgColor indexed="27"/>
      </patternFill>
    </fill>
    <fill>
      <patternFill patternType="solid">
        <fgColor indexed="43"/>
        <bgColor indexed="26"/>
      </patternFill>
    </fill>
    <fill>
      <patternFill patternType="solid">
        <fgColor theme="0"/>
        <bgColor indexed="31"/>
      </patternFill>
    </fill>
    <fill>
      <patternFill patternType="solid">
        <fgColor theme="0" tint="-0.249977111117893"/>
        <bgColor indexed="26"/>
      </patternFill>
    </fill>
    <fill>
      <patternFill patternType="solid">
        <fgColor theme="0"/>
        <bgColor indexed="26"/>
      </patternFill>
    </fill>
    <fill>
      <patternFill patternType="solid">
        <fgColor rgb="FFFFC000"/>
        <bgColor indexed="64"/>
      </patternFill>
    </fill>
    <fill>
      <patternFill patternType="solid">
        <fgColor theme="3" tint="0.59999389629810485"/>
        <bgColor indexed="64"/>
      </patternFill>
    </fill>
    <fill>
      <patternFill patternType="solid">
        <fgColor indexed="9"/>
        <bgColor indexed="64"/>
      </patternFill>
    </fill>
    <fill>
      <patternFill patternType="solid">
        <fgColor rgb="FFFFFF00"/>
        <bgColor indexed="64"/>
      </patternFill>
    </fill>
    <fill>
      <patternFill patternType="solid">
        <fgColor theme="0" tint="-0.249977111117893"/>
        <bgColor indexed="64"/>
      </patternFill>
    </fill>
    <fill>
      <patternFill patternType="solid">
        <fgColor theme="4" tint="0.59999389629810485"/>
        <bgColor indexed="64"/>
      </patternFill>
    </fill>
  </fills>
  <borders count="7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top/>
      <bottom/>
      <diagonal/>
    </border>
    <border>
      <left style="medium">
        <color indexed="8"/>
      </left>
      <right style="medium">
        <color indexed="8"/>
      </right>
      <top/>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diagonal/>
    </border>
    <border>
      <left style="medium">
        <color indexed="8"/>
      </left>
      <right style="medium">
        <color indexed="8"/>
      </right>
      <top style="medium">
        <color indexed="8"/>
      </top>
      <bottom/>
      <diagonal/>
    </border>
    <border>
      <left style="medium">
        <color indexed="8"/>
      </left>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64"/>
      </left>
      <right style="medium">
        <color indexed="64"/>
      </right>
      <top style="medium">
        <color indexed="64"/>
      </top>
      <bottom style="medium">
        <color indexed="64"/>
      </bottom>
      <diagonal/>
    </border>
    <border>
      <left/>
      <right/>
      <top/>
      <bottom style="thick">
        <color indexed="62"/>
      </bottom>
      <diagonal/>
    </border>
    <border>
      <left style="medium">
        <color indexed="8"/>
      </left>
      <right/>
      <top style="thin">
        <color indexed="8"/>
      </top>
      <bottom/>
      <diagonal/>
    </border>
    <border>
      <left style="medium">
        <color indexed="8"/>
      </left>
      <right style="medium">
        <color indexed="8"/>
      </right>
      <top style="thin">
        <color indexed="8"/>
      </top>
      <bottom/>
      <diagonal/>
    </border>
    <border>
      <left style="medium">
        <color indexed="64"/>
      </left>
      <right/>
      <top style="medium">
        <color indexed="64"/>
      </top>
      <bottom style="medium">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style="thin">
        <color rgb="FF2B2B2B"/>
      </top>
      <bottom/>
      <diagonal/>
    </border>
    <border>
      <left style="thin">
        <color rgb="FF2B2B2B"/>
      </left>
      <right/>
      <top style="thin">
        <color rgb="FF2B2B2B"/>
      </top>
      <bottom/>
      <diagonal/>
    </border>
    <border>
      <left style="thin">
        <color rgb="FF2B2B2B"/>
      </left>
      <right style="thin">
        <color rgb="FF808080"/>
      </right>
      <top style="thin">
        <color rgb="FF2B2B2B"/>
      </top>
      <bottom style="thin">
        <color rgb="FF808080"/>
      </bottom>
      <diagonal/>
    </border>
    <border>
      <left style="thin">
        <color rgb="FF2B2B2B"/>
      </left>
      <right style="thin">
        <color rgb="FF2B2B2B"/>
      </right>
      <top style="thin">
        <color rgb="FF2B2B2B"/>
      </top>
      <bottom style="thin">
        <color rgb="FF808080"/>
      </bottom>
      <diagonal/>
    </border>
    <border>
      <left style="thin">
        <color rgb="FF2B2B2B"/>
      </left>
      <right style="thin">
        <color rgb="FF808080"/>
      </right>
      <top style="thin">
        <color rgb="FF2B2B2B"/>
      </top>
      <bottom style="thin">
        <color rgb="FF2B2B2B"/>
      </bottom>
      <diagonal/>
    </border>
    <border>
      <left style="thin">
        <color rgb="FF2B2B2B"/>
      </left>
      <right style="thin">
        <color rgb="FF2B2B2B"/>
      </right>
      <top style="thin">
        <color rgb="FF2B2B2B"/>
      </top>
      <bottom style="thin">
        <color rgb="FF2B2B2B"/>
      </bottom>
      <diagonal/>
    </border>
    <border>
      <left/>
      <right style="thin">
        <color rgb="FF808080"/>
      </right>
      <top style="thin">
        <color rgb="FF2B2B2B"/>
      </top>
      <bottom style="thin">
        <color rgb="FF2B2B2B"/>
      </bottom>
      <diagonal/>
    </border>
    <border>
      <left/>
      <right/>
      <top style="thin">
        <color rgb="FF2B2B2B"/>
      </top>
      <bottom style="thin">
        <color rgb="FF2B2B2B"/>
      </bottom>
      <diagonal/>
    </border>
    <border>
      <left style="thin">
        <color rgb="FF2B2B2B"/>
      </left>
      <right/>
      <top style="thin">
        <color rgb="FF2B2B2B"/>
      </top>
      <bottom style="thin">
        <color rgb="FF2B2B2B"/>
      </bottom>
      <diagonal/>
    </border>
    <border>
      <left/>
      <right style="thin">
        <color rgb="FF2B2B2B"/>
      </right>
      <top style="thin">
        <color rgb="FF2B2B2B"/>
      </top>
      <bottom style="thin">
        <color rgb="FF2B2B2B"/>
      </bottom>
      <diagonal/>
    </border>
    <border>
      <left style="thin">
        <color rgb="FF2B2B2B"/>
      </left>
      <right style="thin">
        <color rgb="FF2B2B2B"/>
      </right>
      <top style="thin">
        <color rgb="FF2B2B2B"/>
      </top>
      <bottom/>
      <diagonal/>
    </border>
    <border>
      <left style="thin">
        <color rgb="FF2B2B2B"/>
      </left>
      <right style="thin">
        <color rgb="FF2B2B2B"/>
      </right>
      <top/>
      <bottom style="thin">
        <color rgb="FF2B2B2B"/>
      </bottom>
      <diagonal/>
    </border>
    <border>
      <left style="thin">
        <color rgb="FF2B2B2B"/>
      </left>
      <right/>
      <top style="thin">
        <color rgb="FF2B2B2B"/>
      </top>
      <bottom style="thin">
        <color rgb="FF808080"/>
      </bottom>
      <diagonal/>
    </border>
    <border>
      <left/>
      <right/>
      <top style="thin">
        <color rgb="FF2B2B2B"/>
      </top>
      <bottom style="thin">
        <color rgb="FF808080"/>
      </bottom>
      <diagonal/>
    </border>
    <border>
      <left/>
      <right style="thin">
        <color rgb="FF2B2B2B"/>
      </right>
      <top style="thin">
        <color rgb="FF2B2B2B"/>
      </top>
      <bottom style="thin">
        <color rgb="FF808080"/>
      </bottom>
      <diagonal/>
    </border>
    <border>
      <left/>
      <right/>
      <top/>
      <bottom style="thin">
        <color rgb="FF2B2B2B"/>
      </bottom>
      <diagonal/>
    </border>
    <border>
      <left style="thin">
        <color rgb="FF808080"/>
      </left>
      <right style="thin">
        <color rgb="FF2B2B2B"/>
      </right>
      <top style="thin">
        <color rgb="FF2B2B2B"/>
      </top>
      <bottom style="thin">
        <color rgb="FF2B2B2B"/>
      </bottom>
      <diagonal/>
    </border>
    <border>
      <left style="thin">
        <color rgb="FF808080"/>
      </left>
      <right/>
      <top style="thin">
        <color rgb="FF2B2B2B"/>
      </top>
      <bottom style="thin">
        <color rgb="FF2B2B2B"/>
      </bottom>
      <diagonal/>
    </border>
    <border>
      <left style="thin">
        <color rgb="FF2B2B2B"/>
      </left>
      <right/>
      <top/>
      <bottom/>
      <diagonal/>
    </border>
    <border>
      <left/>
      <right style="thin">
        <color rgb="FF2B2B2B"/>
      </right>
      <top/>
      <bottom/>
      <diagonal/>
    </border>
    <border>
      <left style="thin">
        <color rgb="FF808080"/>
      </left>
      <right style="thin">
        <color rgb="FF2B2B2B"/>
      </right>
      <top style="thin">
        <color rgb="FF2B2B2B"/>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2B2B2B"/>
      </left>
      <right style="thin">
        <color rgb="FF2B2B2B"/>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808080"/>
      </left>
      <right style="thin">
        <color rgb="FF2B2B2B"/>
      </right>
      <top/>
      <bottom style="thin">
        <color rgb="FF2B2B2B"/>
      </bottom>
      <diagonal/>
    </border>
    <border>
      <left style="thin">
        <color rgb="FF2B2B2B"/>
      </left>
      <right/>
      <top/>
      <bottom style="thin">
        <color rgb="FF2B2B2B"/>
      </bottom>
      <diagonal/>
    </border>
    <border>
      <left/>
      <right style="thin">
        <color rgb="FF2B2B2B"/>
      </right>
      <top/>
      <bottom style="thin">
        <color rgb="FF2B2B2B"/>
      </bottom>
      <diagonal/>
    </border>
    <border>
      <left style="double">
        <color indexed="64"/>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71">
    <xf numFmtId="0" fontId="0" fillId="0" borderId="0"/>
    <xf numFmtId="0" fontId="2" fillId="0" borderId="0"/>
    <xf numFmtId="164" fontId="2" fillId="0" borderId="0" applyFill="0" applyBorder="0" applyAlignment="0" applyProtection="0"/>
    <xf numFmtId="166" fontId="2" fillId="0" borderId="0" applyFont="0" applyFill="0" applyBorder="0" applyAlignment="0" applyProtection="0"/>
    <xf numFmtId="0" fontId="5" fillId="0" borderId="0" applyNumberFormat="0" applyFill="0" applyBorder="0" applyAlignment="0" applyProtection="0">
      <alignment vertical="top"/>
      <protection locked="0"/>
    </xf>
    <xf numFmtId="166" fontId="2" fillId="0" borderId="0" applyFont="0" applyFill="0" applyBorder="0" applyAlignment="0" applyProtection="0"/>
    <xf numFmtId="166" fontId="2" fillId="0" borderId="0" applyFont="0" applyFill="0" applyBorder="0" applyAlignment="0" applyProtection="0"/>
    <xf numFmtId="6" fontId="2" fillId="0" borderId="0" applyFont="0" applyFill="0" applyBorder="0" applyAlignment="0" applyProtection="0"/>
    <xf numFmtId="0" fontId="2" fillId="0" borderId="0"/>
    <xf numFmtId="0" fontId="1" fillId="0" borderId="0"/>
    <xf numFmtId="0" fontId="6" fillId="0" borderId="0"/>
    <xf numFmtId="0" fontId="1" fillId="0" borderId="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5" fontId="1" fillId="0" borderId="0" applyFont="0" applyFill="0" applyBorder="0" applyAlignment="0" applyProtection="0"/>
    <xf numFmtId="9" fontId="2" fillId="0" borderId="0" applyFill="0" applyBorder="0" applyAlignment="0" applyProtection="0"/>
    <xf numFmtId="0" fontId="22" fillId="0" borderId="0"/>
    <xf numFmtId="9" fontId="22" fillId="0" borderId="0" applyFont="0" applyFill="0" applyBorder="0" applyAlignment="0" applyProtection="0"/>
    <xf numFmtId="170" fontId="2" fillId="0" borderId="0" applyFont="0" applyFill="0" applyBorder="0" applyAlignment="0" applyProtection="0"/>
    <xf numFmtId="0" fontId="5"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166" fontId="2" fillId="0" borderId="0" applyFont="0" applyFill="0" applyBorder="0" applyAlignment="0" applyProtection="0"/>
    <xf numFmtId="0" fontId="2" fillId="0" borderId="0" applyFont="0" applyFill="0" applyBorder="0" applyAlignment="0" applyProtection="0"/>
    <xf numFmtId="44" fontId="24" fillId="0" borderId="0" applyFont="0" applyFill="0" applyBorder="0" applyAlignment="0" applyProtection="0"/>
    <xf numFmtId="166" fontId="24"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22" fillId="0" borderId="0" applyFont="0" applyFill="0" applyBorder="0" applyAlignment="0" applyProtection="0"/>
    <xf numFmtId="0" fontId="2" fillId="0" borderId="0" applyFont="0" applyFill="0" applyBorder="0" applyAlignment="0" applyProtection="0"/>
    <xf numFmtId="44" fontId="24"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0" fontId="24" fillId="0" borderId="0"/>
    <xf numFmtId="0" fontId="2" fillId="0" borderId="0"/>
    <xf numFmtId="0" fontId="2" fillId="0" borderId="0"/>
    <xf numFmtId="9" fontId="2" fillId="0" borderId="0" applyFont="0" applyFill="0" applyBorder="0" applyAlignment="0" applyProtection="0"/>
    <xf numFmtId="9" fontId="24"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165" fontId="2" fillId="0" borderId="0" applyFont="0" applyFill="0" applyBorder="0" applyAlignment="0" applyProtection="0"/>
    <xf numFmtId="43" fontId="24"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43" fontId="24" fillId="0" borderId="0" applyFont="0" applyFill="0" applyBorder="0" applyAlignment="0" applyProtection="0"/>
    <xf numFmtId="0" fontId="25" fillId="0" borderId="0" applyNumberFormat="0" applyFill="0" applyBorder="0" applyAlignment="0" applyProtection="0"/>
    <xf numFmtId="0" fontId="26" fillId="0" borderId="19" applyNumberFormat="0" applyFill="0" applyAlignment="0" applyProtection="0"/>
    <xf numFmtId="43" fontId="1" fillId="0" borderId="0" applyFont="0" applyFill="0" applyBorder="0" applyAlignment="0" applyProtection="0"/>
    <xf numFmtId="49" fontId="30" fillId="0" borderId="0"/>
    <xf numFmtId="165" fontId="6" fillId="0" borderId="0" applyFont="0" applyFill="0" applyBorder="0" applyAlignment="0" applyProtection="0"/>
    <xf numFmtId="49" fontId="6" fillId="0" borderId="0"/>
    <xf numFmtId="44" fontId="1" fillId="0" borderId="0" applyFont="0" applyFill="0" applyBorder="0" applyAlignment="0" applyProtection="0"/>
    <xf numFmtId="0" fontId="25" fillId="0" borderId="0" applyNumberFormat="0" applyFill="0" applyBorder="0" applyAlignment="0" applyProtection="0"/>
    <xf numFmtId="9" fontId="1" fillId="0" borderId="0" applyFont="0" applyFill="0" applyBorder="0" applyAlignment="0" applyProtection="0"/>
    <xf numFmtId="0" fontId="72" fillId="0" borderId="0"/>
    <xf numFmtId="173" fontId="2" fillId="0" borderId="0" applyFill="0" applyBorder="0" applyAlignment="0" applyProtection="0"/>
  </cellStyleXfs>
  <cellXfs count="841">
    <xf numFmtId="0" fontId="0" fillId="0" borderId="0" xfId="0"/>
    <xf numFmtId="0" fontId="2" fillId="0" borderId="0" xfId="1" applyAlignment="1">
      <alignment vertical="center"/>
    </xf>
    <xf numFmtId="0" fontId="15" fillId="5" borderId="11" xfId="1" applyFont="1" applyFill="1" applyBorder="1" applyAlignment="1">
      <alignment vertical="center" wrapText="1"/>
    </xf>
    <xf numFmtId="0" fontId="14" fillId="5" borderId="0" xfId="1" applyFont="1" applyFill="1" applyAlignment="1">
      <alignment vertical="center" wrapText="1"/>
    </xf>
    <xf numFmtId="0" fontId="13" fillId="5" borderId="0" xfId="1" applyFont="1" applyFill="1" applyAlignment="1">
      <alignment vertical="center"/>
    </xf>
    <xf numFmtId="0" fontId="2" fillId="5" borderId="0" xfId="1" applyFill="1" applyAlignment="1">
      <alignment vertical="center"/>
    </xf>
    <xf numFmtId="0" fontId="14" fillId="6" borderId="9" xfId="1" applyFont="1" applyFill="1" applyBorder="1" applyAlignment="1">
      <alignment vertical="center" wrapText="1"/>
    </xf>
    <xf numFmtId="0" fontId="16" fillId="0" borderId="0" xfId="1" applyFont="1" applyAlignment="1">
      <alignment vertical="center"/>
    </xf>
    <xf numFmtId="0" fontId="14" fillId="5" borderId="9" xfId="1" applyFont="1" applyFill="1" applyBorder="1" applyAlignment="1">
      <alignment vertical="center" wrapText="1"/>
    </xf>
    <xf numFmtId="0" fontId="15" fillId="5" borderId="14" xfId="1" applyFont="1" applyFill="1" applyBorder="1" applyAlignment="1">
      <alignment vertical="center" wrapText="1"/>
    </xf>
    <xf numFmtId="0" fontId="15" fillId="5" borderId="16" xfId="1" applyFont="1" applyFill="1" applyBorder="1" applyAlignment="1">
      <alignment vertical="center" wrapText="1"/>
    </xf>
    <xf numFmtId="0" fontId="15" fillId="0" borderId="11" xfId="1" applyFont="1" applyBorder="1" applyAlignment="1">
      <alignment vertical="center" wrapText="1"/>
    </xf>
    <xf numFmtId="10" fontId="2" fillId="0" borderId="0" xfId="17" applyNumberFormat="1" applyBorder="1" applyAlignment="1">
      <alignment vertical="center"/>
    </xf>
    <xf numFmtId="0" fontId="2" fillId="0" borderId="12" xfId="1" applyBorder="1" applyAlignment="1">
      <alignment vertical="center"/>
    </xf>
    <xf numFmtId="10" fontId="17" fillId="5" borderId="12" xfId="17" applyNumberFormat="1" applyFont="1" applyFill="1" applyBorder="1" applyAlignment="1" applyProtection="1">
      <alignment vertical="center"/>
    </xf>
    <xf numFmtId="10" fontId="17" fillId="5" borderId="17" xfId="1" applyNumberFormat="1" applyFont="1" applyFill="1" applyBorder="1" applyAlignment="1">
      <alignment vertical="center"/>
    </xf>
    <xf numFmtId="10" fontId="18" fillId="6" borderId="13" xfId="17" applyNumberFormat="1" applyFont="1" applyFill="1" applyBorder="1" applyAlignment="1" applyProtection="1">
      <alignment vertical="center"/>
    </xf>
    <xf numFmtId="9" fontId="18" fillId="8" borderId="10" xfId="17" applyFont="1" applyFill="1" applyBorder="1" applyAlignment="1" applyProtection="1">
      <alignment horizontal="center" vertical="center"/>
    </xf>
    <xf numFmtId="10" fontId="17" fillId="5" borderId="15" xfId="17" applyNumberFormat="1" applyFont="1" applyFill="1" applyBorder="1" applyAlignment="1" applyProtection="1">
      <alignment vertical="center"/>
    </xf>
    <xf numFmtId="0" fontId="2" fillId="2" borderId="0" xfId="1" applyFill="1" applyAlignment="1">
      <alignment vertical="center"/>
    </xf>
    <xf numFmtId="10" fontId="17" fillId="5" borderId="10" xfId="1" applyNumberFormat="1" applyFont="1" applyFill="1" applyBorder="1" applyAlignment="1">
      <alignment vertical="center"/>
    </xf>
    <xf numFmtId="0" fontId="15" fillId="5" borderId="16" xfId="1" applyFont="1" applyFill="1" applyBorder="1" applyAlignment="1">
      <alignment horizontal="center" vertical="center" wrapText="1"/>
    </xf>
    <xf numFmtId="10" fontId="16" fillId="0" borderId="0" xfId="1" applyNumberFormat="1" applyFont="1" applyAlignment="1">
      <alignment vertical="center"/>
    </xf>
    <xf numFmtId="10" fontId="2" fillId="0" borderId="0" xfId="1" applyNumberFormat="1" applyAlignment="1">
      <alignment vertical="center"/>
    </xf>
    <xf numFmtId="0" fontId="10" fillId="0" borderId="0" xfId="1" applyFont="1"/>
    <xf numFmtId="0" fontId="14" fillId="11" borderId="9" xfId="1" applyFont="1" applyFill="1" applyBorder="1" applyAlignment="1">
      <alignment horizontal="center" vertical="center" wrapText="1"/>
    </xf>
    <xf numFmtId="10" fontId="17" fillId="11" borderId="13" xfId="1" applyNumberFormat="1" applyFont="1" applyFill="1" applyBorder="1" applyAlignment="1">
      <alignment vertical="center"/>
    </xf>
    <xf numFmtId="0" fontId="14" fillId="12" borderId="9" xfId="1" applyFont="1" applyFill="1" applyBorder="1" applyAlignment="1">
      <alignment horizontal="center" vertical="center" wrapText="1"/>
    </xf>
    <xf numFmtId="10" fontId="17" fillId="12" borderId="10" xfId="1" applyNumberFormat="1" applyFont="1" applyFill="1" applyBorder="1" applyAlignment="1">
      <alignment vertical="center"/>
    </xf>
    <xf numFmtId="10" fontId="2" fillId="2" borderId="0" xfId="1" applyNumberFormat="1" applyFill="1" applyAlignment="1">
      <alignment vertical="center"/>
    </xf>
    <xf numFmtId="0" fontId="15" fillId="12" borderId="11" xfId="1" applyFont="1" applyFill="1" applyBorder="1" applyAlignment="1">
      <alignment vertical="center" wrapText="1"/>
    </xf>
    <xf numFmtId="10" fontId="17" fillId="12" borderId="12" xfId="17" applyNumberFormat="1" applyFont="1" applyFill="1" applyBorder="1" applyAlignment="1" applyProtection="1">
      <alignment vertical="center"/>
    </xf>
    <xf numFmtId="0" fontId="15" fillId="5" borderId="20" xfId="1" applyFont="1" applyFill="1" applyBorder="1" applyAlignment="1">
      <alignment horizontal="center" vertical="center" wrapText="1"/>
    </xf>
    <xf numFmtId="10" fontId="17" fillId="5" borderId="21" xfId="1" applyNumberFormat="1" applyFont="1" applyFill="1" applyBorder="1" applyAlignment="1">
      <alignment vertical="center"/>
    </xf>
    <xf numFmtId="0" fontId="12" fillId="8" borderId="22" xfId="1" applyFont="1" applyFill="1" applyBorder="1" applyAlignment="1">
      <alignment vertical="center" wrapText="1"/>
    </xf>
    <xf numFmtId="10" fontId="12" fillId="8" borderId="18" xfId="1" applyNumberFormat="1" applyFont="1" applyFill="1" applyBorder="1" applyAlignment="1">
      <alignment vertical="center" wrapText="1"/>
    </xf>
    <xf numFmtId="0" fontId="34" fillId="0" borderId="0" xfId="0" applyFont="1" applyAlignment="1">
      <alignment vertical="center"/>
    </xf>
    <xf numFmtId="0" fontId="4" fillId="0" borderId="0" xfId="1" applyFont="1" applyAlignment="1">
      <alignment vertical="center"/>
    </xf>
    <xf numFmtId="0" fontId="4" fillId="2" borderId="0" xfId="1" applyFont="1" applyFill="1" applyAlignment="1">
      <alignment vertical="center"/>
    </xf>
    <xf numFmtId="0" fontId="4" fillId="5" borderId="0" xfId="1" applyFont="1" applyFill="1" applyAlignment="1">
      <alignment vertical="center"/>
    </xf>
    <xf numFmtId="10" fontId="4" fillId="0" borderId="0" xfId="17" applyNumberFormat="1" applyFont="1" applyBorder="1" applyAlignment="1">
      <alignment vertical="center"/>
    </xf>
    <xf numFmtId="0" fontId="4" fillId="0" borderId="12" xfId="1" applyFont="1" applyBorder="1" applyAlignment="1">
      <alignment vertical="center"/>
    </xf>
    <xf numFmtId="0" fontId="39" fillId="0" borderId="0" xfId="0" applyFont="1" applyAlignment="1">
      <alignment vertical="center" wrapText="1"/>
    </xf>
    <xf numFmtId="0" fontId="4" fillId="0" borderId="0" xfId="0" applyFont="1" applyAlignment="1">
      <alignment vertical="center"/>
    </xf>
    <xf numFmtId="0" fontId="3" fillId="0" borderId="5" xfId="0" applyFont="1" applyBorder="1" applyAlignment="1">
      <alignment vertical="center" wrapText="1"/>
    </xf>
    <xf numFmtId="0" fontId="3" fillId="9" borderId="5" xfId="0" applyFont="1" applyFill="1" applyBorder="1" applyAlignment="1">
      <alignment horizontal="left" vertical="center" wrapText="1"/>
    </xf>
    <xf numFmtId="0" fontId="4" fillId="5" borderId="5" xfId="1" applyFont="1" applyFill="1" applyBorder="1" applyAlignment="1">
      <alignment vertical="center" wrapText="1"/>
    </xf>
    <xf numFmtId="10" fontId="43" fillId="5" borderId="5" xfId="17" applyNumberFormat="1" applyFont="1" applyFill="1" applyBorder="1" applyAlignment="1" applyProtection="1">
      <alignment vertical="center"/>
    </xf>
    <xf numFmtId="164" fontId="4" fillId="5" borderId="5" xfId="2" applyFont="1" applyFill="1" applyBorder="1" applyAlignment="1" applyProtection="1">
      <alignment vertical="center"/>
    </xf>
    <xf numFmtId="0" fontId="4" fillId="2" borderId="5" xfId="1" applyFont="1" applyFill="1" applyBorder="1" applyAlignment="1">
      <alignment wrapText="1"/>
    </xf>
    <xf numFmtId="0" fontId="3" fillId="4" borderId="5" xfId="1" applyFont="1" applyFill="1" applyBorder="1" applyAlignment="1">
      <alignment horizontal="left" vertical="center" wrapText="1"/>
    </xf>
    <xf numFmtId="9" fontId="41" fillId="4" borderId="5" xfId="17" applyFont="1" applyFill="1" applyBorder="1" applyAlignment="1" applyProtection="1">
      <alignment horizontal="center" vertical="center"/>
    </xf>
    <xf numFmtId="0" fontId="3" fillId="4" borderId="5" xfId="1" applyFont="1" applyFill="1" applyBorder="1" applyAlignment="1">
      <alignment horizontal="center" vertical="center"/>
    </xf>
    <xf numFmtId="0" fontId="3" fillId="6" borderId="5" xfId="1" applyFont="1" applyFill="1" applyBorder="1" applyAlignment="1">
      <alignment vertical="center" wrapText="1"/>
    </xf>
    <xf numFmtId="9" fontId="42" fillId="6" borderId="5" xfId="17" applyFont="1" applyFill="1" applyBorder="1" applyAlignment="1" applyProtection="1">
      <alignment vertical="center"/>
    </xf>
    <xf numFmtId="164" fontId="3" fillId="6" borderId="5" xfId="2" applyFont="1" applyFill="1" applyBorder="1" applyAlignment="1" applyProtection="1">
      <alignment horizontal="center" vertical="center"/>
    </xf>
    <xf numFmtId="168" fontId="43" fillId="5" borderId="5" xfId="17" applyNumberFormat="1" applyFont="1" applyFill="1" applyBorder="1" applyAlignment="1" applyProtection="1">
      <alignment vertical="center"/>
    </xf>
    <xf numFmtId="0" fontId="41" fillId="5" borderId="5" xfId="1" applyFont="1" applyFill="1" applyBorder="1" applyAlignment="1">
      <alignment vertical="center"/>
    </xf>
    <xf numFmtId="0" fontId="3" fillId="7" borderId="5" xfId="1" applyFont="1" applyFill="1" applyBorder="1" applyAlignment="1">
      <alignment vertical="center" wrapText="1"/>
    </xf>
    <xf numFmtId="0" fontId="41" fillId="7" borderId="5" xfId="1" applyFont="1" applyFill="1" applyBorder="1" applyAlignment="1">
      <alignment vertical="center"/>
    </xf>
    <xf numFmtId="164" fontId="3" fillId="7" borderId="5" xfId="1" applyNumberFormat="1" applyFont="1" applyFill="1" applyBorder="1" applyAlignment="1">
      <alignment vertical="center"/>
    </xf>
    <xf numFmtId="0" fontId="3" fillId="5" borderId="5" xfId="1" applyFont="1" applyFill="1" applyBorder="1" applyAlignment="1">
      <alignment vertical="center" wrapText="1"/>
    </xf>
    <xf numFmtId="164" fontId="3" fillId="5" borderId="5" xfId="1" applyNumberFormat="1" applyFont="1" applyFill="1" applyBorder="1" applyAlignment="1">
      <alignment vertical="center"/>
    </xf>
    <xf numFmtId="0" fontId="3" fillId="8" borderId="5" xfId="1" applyFont="1" applyFill="1" applyBorder="1" applyAlignment="1">
      <alignment horizontal="left" vertical="center" wrapText="1"/>
    </xf>
    <xf numFmtId="9" fontId="41" fillId="8" borderId="5" xfId="17" applyFont="1" applyFill="1" applyBorder="1" applyAlignment="1" applyProtection="1">
      <alignment horizontal="center" vertical="center"/>
    </xf>
    <xf numFmtId="0" fontId="3" fillId="8" borderId="5" xfId="1" applyFont="1" applyFill="1" applyBorder="1" applyAlignment="1">
      <alignment horizontal="center" vertical="center"/>
    </xf>
    <xf numFmtId="10" fontId="41" fillId="6" borderId="5" xfId="17" applyNumberFormat="1" applyFont="1" applyFill="1" applyBorder="1" applyAlignment="1" applyProtection="1">
      <alignment vertical="center"/>
    </xf>
    <xf numFmtId="10" fontId="43" fillId="5" borderId="5" xfId="1" applyNumberFormat="1" applyFont="1" applyFill="1" applyBorder="1" applyAlignment="1">
      <alignment vertical="center"/>
    </xf>
    <xf numFmtId="164" fontId="4" fillId="5" borderId="5" xfId="1" applyNumberFormat="1" applyFont="1" applyFill="1" applyBorder="1" applyAlignment="1">
      <alignment vertical="center"/>
    </xf>
    <xf numFmtId="0" fontId="3" fillId="11" borderId="5" xfId="1" applyFont="1" applyFill="1" applyBorder="1" applyAlignment="1">
      <alignment horizontal="center" vertical="center" wrapText="1"/>
    </xf>
    <xf numFmtId="164" fontId="3" fillId="11" borderId="5" xfId="1" applyNumberFormat="1" applyFont="1" applyFill="1" applyBorder="1" applyAlignment="1">
      <alignment vertical="center"/>
    </xf>
    <xf numFmtId="0" fontId="4" fillId="5" borderId="5" xfId="1" applyFont="1" applyFill="1" applyBorder="1" applyAlignment="1">
      <alignment horizontal="left" vertical="center" wrapText="1"/>
    </xf>
    <xf numFmtId="10" fontId="4" fillId="5" borderId="5" xfId="1" applyNumberFormat="1" applyFont="1" applyFill="1" applyBorder="1" applyAlignment="1">
      <alignment horizontal="right" vertical="center" wrapText="1"/>
    </xf>
    <xf numFmtId="10" fontId="3" fillId="7" borderId="5" xfId="1" applyNumberFormat="1" applyFont="1" applyFill="1" applyBorder="1" applyAlignment="1">
      <alignment horizontal="right" vertical="center" wrapText="1"/>
    </xf>
    <xf numFmtId="0" fontId="3" fillId="10" borderId="5" xfId="1" applyFont="1" applyFill="1" applyBorder="1" applyAlignment="1">
      <alignment horizontal="left" vertical="center" wrapText="1"/>
    </xf>
    <xf numFmtId="10" fontId="3" fillId="10" borderId="5" xfId="1" applyNumberFormat="1" applyFont="1" applyFill="1" applyBorder="1" applyAlignment="1">
      <alignment horizontal="right" vertical="center" wrapText="1"/>
    </xf>
    <xf numFmtId="164" fontId="3" fillId="10" borderId="5" xfId="1" applyNumberFormat="1" applyFont="1" applyFill="1" applyBorder="1" applyAlignment="1">
      <alignment vertical="center"/>
    </xf>
    <xf numFmtId="0" fontId="4" fillId="0" borderId="5" xfId="1" applyFont="1" applyBorder="1" applyAlignment="1">
      <alignment vertical="center" wrapText="1"/>
    </xf>
    <xf numFmtId="169" fontId="43" fillId="5" borderId="5" xfId="17" applyNumberFormat="1" applyFont="1" applyFill="1" applyBorder="1" applyAlignment="1" applyProtection="1">
      <alignment vertical="center"/>
    </xf>
    <xf numFmtId="0" fontId="4" fillId="12" borderId="5" xfId="1" applyFont="1" applyFill="1" applyBorder="1" applyAlignment="1">
      <alignment vertical="center" wrapText="1"/>
    </xf>
    <xf numFmtId="10" fontId="43" fillId="12" borderId="5" xfId="17" applyNumberFormat="1" applyFont="1" applyFill="1" applyBorder="1" applyAlignment="1" applyProtection="1">
      <alignment vertical="center"/>
    </xf>
    <xf numFmtId="164" fontId="4" fillId="12" borderId="5" xfId="2" applyFont="1" applyFill="1" applyBorder="1" applyAlignment="1" applyProtection="1">
      <alignment vertical="center"/>
    </xf>
    <xf numFmtId="0" fontId="4" fillId="5" borderId="5" xfId="1" applyFont="1" applyFill="1" applyBorder="1" applyAlignment="1">
      <alignment horizontal="center" vertical="center" wrapText="1"/>
    </xf>
    <xf numFmtId="0" fontId="3" fillId="6" borderId="5" xfId="1" applyFont="1" applyFill="1" applyBorder="1" applyAlignment="1">
      <alignment horizontal="center" vertical="center" wrapText="1"/>
    </xf>
    <xf numFmtId="0" fontId="11" fillId="9" borderId="5" xfId="0" applyFont="1" applyFill="1" applyBorder="1" applyAlignment="1">
      <alignment horizontal="center" vertical="center" wrapText="1"/>
    </xf>
    <xf numFmtId="1" fontId="3" fillId="9" borderId="5" xfId="0" applyNumberFormat="1" applyFont="1" applyFill="1" applyBorder="1" applyAlignment="1">
      <alignment horizontal="center" vertical="center" wrapText="1"/>
    </xf>
    <xf numFmtId="43" fontId="4" fillId="0" borderId="0" xfId="1" applyNumberFormat="1" applyFont="1" applyAlignment="1">
      <alignment vertical="center"/>
    </xf>
    <xf numFmtId="0" fontId="48" fillId="0" borderId="0" xfId="0" applyFont="1" applyAlignment="1">
      <alignment vertical="center" wrapText="1"/>
    </xf>
    <xf numFmtId="0" fontId="49" fillId="0" borderId="0" xfId="0" applyFont="1" applyAlignment="1">
      <alignment vertical="center" wrapText="1"/>
    </xf>
    <xf numFmtId="0" fontId="3" fillId="11" borderId="7" xfId="1" applyFont="1" applyFill="1" applyBorder="1" applyAlignment="1">
      <alignment horizontal="center" vertical="center" wrapText="1"/>
    </xf>
    <xf numFmtId="164" fontId="3" fillId="11" borderId="7" xfId="1" applyNumberFormat="1" applyFont="1" applyFill="1" applyBorder="1" applyAlignment="1">
      <alignment vertical="center"/>
    </xf>
    <xf numFmtId="0" fontId="46" fillId="0" borderId="0" xfId="0" applyFont="1" applyAlignment="1">
      <alignment vertical="center" wrapText="1"/>
    </xf>
    <xf numFmtId="0" fontId="3" fillId="7" borderId="7" xfId="1" applyFont="1" applyFill="1" applyBorder="1" applyAlignment="1">
      <alignment horizontal="center" vertical="center" wrapText="1"/>
    </xf>
    <xf numFmtId="0" fontId="41" fillId="7" borderId="7" xfId="1" applyFont="1" applyFill="1" applyBorder="1" applyAlignment="1">
      <alignment vertical="center"/>
    </xf>
    <xf numFmtId="164" fontId="3" fillId="7" borderId="7" xfId="1" applyNumberFormat="1" applyFont="1" applyFill="1" applyBorder="1" applyAlignment="1">
      <alignment vertical="center"/>
    </xf>
    <xf numFmtId="0" fontId="50" fillId="0" borderId="0" xfId="0" applyFont="1" applyAlignment="1">
      <alignment vertical="center"/>
    </xf>
    <xf numFmtId="0" fontId="47" fillId="0" borderId="0" xfId="0" applyFont="1" applyAlignment="1">
      <alignment vertical="center" wrapText="1"/>
    </xf>
    <xf numFmtId="0" fontId="33" fillId="0" borderId="0" xfId="0" applyFont="1" applyAlignment="1">
      <alignment vertical="center"/>
    </xf>
    <xf numFmtId="0" fontId="7" fillId="0" borderId="5" xfId="0" applyFont="1" applyBorder="1" applyAlignment="1">
      <alignment horizontal="center" vertical="center"/>
    </xf>
    <xf numFmtId="0" fontId="7" fillId="0" borderId="5" xfId="0" applyFont="1" applyBorder="1" applyAlignment="1">
      <alignment vertical="center"/>
    </xf>
    <xf numFmtId="172" fontId="9" fillId="15" borderId="5" xfId="66" applyNumberFormat="1" applyFont="1" applyFill="1" applyBorder="1" applyAlignment="1">
      <alignment vertical="center"/>
    </xf>
    <xf numFmtId="172" fontId="7" fillId="15" borderId="5" xfId="66" applyNumberFormat="1" applyFont="1" applyFill="1" applyBorder="1" applyAlignment="1">
      <alignment vertical="center"/>
    </xf>
    <xf numFmtId="172" fontId="7" fillId="0" borderId="5" xfId="66" applyNumberFormat="1" applyFont="1" applyBorder="1"/>
    <xf numFmtId="0" fontId="33" fillId="0" borderId="5" xfId="0" applyFont="1" applyBorder="1" applyAlignment="1">
      <alignment vertical="center"/>
    </xf>
    <xf numFmtId="0" fontId="0" fillId="0" borderId="5" xfId="0" applyBorder="1"/>
    <xf numFmtId="0" fontId="53" fillId="0" borderId="0" xfId="1" applyFont="1"/>
    <xf numFmtId="0" fontId="55" fillId="0" borderId="0" xfId="1" applyFont="1"/>
    <xf numFmtId="0" fontId="34" fillId="0" borderId="0" xfId="1" applyFont="1"/>
    <xf numFmtId="0" fontId="57" fillId="0" borderId="0" xfId="1" applyFont="1"/>
    <xf numFmtId="167" fontId="37" fillId="0" borderId="5" xfId="1" applyNumberFormat="1" applyFont="1" applyBorder="1" applyAlignment="1">
      <alignment vertical="center" wrapText="1"/>
    </xf>
    <xf numFmtId="0" fontId="56" fillId="0" borderId="5" xfId="1" applyFont="1" applyBorder="1" applyAlignment="1">
      <alignment horizontal="center" vertical="center" wrapText="1"/>
    </xf>
    <xf numFmtId="10" fontId="4" fillId="0" borderId="0" xfId="1" applyNumberFormat="1" applyFont="1" applyAlignment="1">
      <alignment vertical="center"/>
    </xf>
    <xf numFmtId="10" fontId="58" fillId="11" borderId="7" xfId="1" applyNumberFormat="1" applyFont="1" applyFill="1" applyBorder="1" applyAlignment="1">
      <alignment vertical="center"/>
    </xf>
    <xf numFmtId="10" fontId="59" fillId="5" borderId="5" xfId="17" applyNumberFormat="1" applyFont="1" applyFill="1" applyBorder="1" applyAlignment="1" applyProtection="1">
      <alignment vertical="center"/>
    </xf>
    <xf numFmtId="164" fontId="59" fillId="5" borderId="5" xfId="2" applyFont="1" applyFill="1" applyBorder="1" applyAlignment="1" applyProtection="1">
      <alignment vertical="center"/>
    </xf>
    <xf numFmtId="167" fontId="4" fillId="0" borderId="0" xfId="1" applyNumberFormat="1" applyFont="1" applyAlignment="1">
      <alignment vertical="center"/>
    </xf>
    <xf numFmtId="0" fontId="19" fillId="2" borderId="5" xfId="1" applyFont="1" applyFill="1" applyBorder="1" applyAlignment="1">
      <alignment horizontal="center" vertical="center"/>
    </xf>
    <xf numFmtId="0" fontId="35" fillId="12" borderId="3" xfId="1" applyFont="1" applyFill="1" applyBorder="1" applyAlignment="1">
      <alignment horizontal="center" vertical="center" wrapText="1"/>
    </xf>
    <xf numFmtId="0" fontId="35" fillId="12" borderId="5" xfId="1" applyFont="1" applyFill="1" applyBorder="1" applyAlignment="1">
      <alignment horizontal="center" vertical="center" wrapText="1"/>
    </xf>
    <xf numFmtId="171" fontId="9" fillId="0" borderId="5" xfId="0" applyNumberFormat="1" applyFont="1" applyBorder="1" applyAlignment="1">
      <alignment horizontal="center" vertical="center"/>
    </xf>
    <xf numFmtId="0" fontId="0" fillId="0" borderId="0" xfId="0" applyAlignment="1">
      <alignment vertical="center"/>
    </xf>
    <xf numFmtId="167" fontId="0" fillId="0" borderId="0" xfId="0" applyNumberFormat="1" applyAlignment="1">
      <alignment vertical="center"/>
    </xf>
    <xf numFmtId="10" fontId="61" fillId="11" borderId="13" xfId="1" applyNumberFormat="1" applyFont="1" applyFill="1" applyBorder="1" applyAlignment="1">
      <alignment vertical="center"/>
    </xf>
    <xf numFmtId="10" fontId="61" fillId="5" borderId="13" xfId="1" applyNumberFormat="1" applyFont="1" applyFill="1" applyBorder="1" applyAlignment="1">
      <alignment vertical="center"/>
    </xf>
    <xf numFmtId="10" fontId="58" fillId="11" borderId="5" xfId="1" applyNumberFormat="1" applyFont="1" applyFill="1" applyBorder="1" applyAlignment="1">
      <alignment vertical="center"/>
    </xf>
    <xf numFmtId="0" fontId="36" fillId="12" borderId="5" xfId="1" applyFont="1" applyFill="1" applyBorder="1" applyAlignment="1">
      <alignment horizontal="center" vertical="center" wrapText="1"/>
    </xf>
    <xf numFmtId="0" fontId="2" fillId="2" borderId="5" xfId="1" applyFill="1" applyBorder="1" applyAlignment="1">
      <alignment horizontal="center" vertical="center"/>
    </xf>
    <xf numFmtId="0" fontId="2" fillId="2" borderId="5" xfId="1" applyFill="1" applyBorder="1" applyAlignment="1">
      <alignment horizontal="center" vertical="center" wrapText="1"/>
    </xf>
    <xf numFmtId="3" fontId="2" fillId="2" borderId="3" xfId="1" applyNumberFormat="1" applyFill="1" applyBorder="1" applyAlignment="1">
      <alignment horizontal="center" vertical="center" wrapText="1"/>
    </xf>
    <xf numFmtId="0" fontId="2" fillId="0" borderId="0" xfId="1"/>
    <xf numFmtId="0" fontId="7" fillId="0" borderId="5" xfId="0" applyFont="1" applyBorder="1" applyAlignment="1">
      <alignment horizontal="center" vertical="center" wrapText="1"/>
    </xf>
    <xf numFmtId="0" fontId="29" fillId="2" borderId="0" xfId="1" applyFont="1" applyFill="1" applyAlignment="1">
      <alignment horizontal="justify" vertical="justify" wrapText="1"/>
    </xf>
    <xf numFmtId="4" fontId="4" fillId="0" borderId="0" xfId="1" applyNumberFormat="1" applyFont="1" applyAlignment="1">
      <alignment vertical="center"/>
    </xf>
    <xf numFmtId="4" fontId="0" fillId="0" borderId="0" xfId="0" applyNumberFormat="1" applyAlignment="1">
      <alignment vertical="center"/>
    </xf>
    <xf numFmtId="2" fontId="16" fillId="0" borderId="0" xfId="1" applyNumberFormat="1" applyFont="1" applyAlignment="1">
      <alignment vertical="center"/>
    </xf>
    <xf numFmtId="4" fontId="2" fillId="2" borderId="3" xfId="1" applyNumberFormat="1" applyFill="1" applyBorder="1" applyAlignment="1">
      <alignment horizontal="right" vertical="center" wrapText="1"/>
    </xf>
    <xf numFmtId="4" fontId="19" fillId="2" borderId="3" xfId="1" applyNumberFormat="1" applyFont="1" applyFill="1" applyBorder="1" applyAlignment="1">
      <alignment horizontal="right" vertical="center" wrapText="1"/>
    </xf>
    <xf numFmtId="167" fontId="37" fillId="9" borderId="7" xfId="1" applyNumberFormat="1" applyFont="1" applyFill="1" applyBorder="1" applyAlignment="1">
      <alignment horizontal="right" vertical="center" wrapText="1"/>
    </xf>
    <xf numFmtId="0" fontId="3" fillId="7" borderId="5" xfId="1" applyFont="1" applyFill="1" applyBorder="1" applyAlignment="1">
      <alignment horizontal="center" vertical="center" wrapText="1"/>
    </xf>
    <xf numFmtId="0" fontId="3" fillId="6" borderId="5" xfId="1" applyFont="1" applyFill="1" applyBorder="1" applyAlignment="1">
      <alignment horizontal="left" vertical="center" wrapText="1"/>
    </xf>
    <xf numFmtId="0" fontId="3" fillId="9" borderId="5" xfId="0" applyFont="1" applyFill="1" applyBorder="1" applyAlignment="1">
      <alignment horizontal="center" vertical="center" wrapText="1"/>
    </xf>
    <xf numFmtId="172" fontId="8" fillId="0" borderId="3" xfId="0" applyNumberFormat="1" applyFont="1" applyBorder="1" applyAlignment="1">
      <alignment horizontal="left" vertical="center"/>
    </xf>
    <xf numFmtId="4" fontId="37" fillId="0" borderId="5" xfId="1" applyNumberFormat="1" applyFont="1" applyBorder="1" applyAlignment="1">
      <alignment horizontal="center" vertical="center" wrapText="1"/>
    </xf>
    <xf numFmtId="4" fontId="37" fillId="0" borderId="5" xfId="1" applyNumberFormat="1" applyFont="1" applyBorder="1" applyAlignment="1">
      <alignment horizontal="center" vertical="center"/>
    </xf>
    <xf numFmtId="3" fontId="2" fillId="0" borderId="0" xfId="1" applyNumberFormat="1"/>
    <xf numFmtId="0" fontId="2" fillId="2" borderId="3" xfId="1" applyFill="1" applyBorder="1" applyAlignment="1">
      <alignment horizontal="center" vertical="center" wrapText="1"/>
    </xf>
    <xf numFmtId="4" fontId="37" fillId="0" borderId="0" xfId="1" applyNumberFormat="1" applyFont="1"/>
    <xf numFmtId="0" fontId="15" fillId="0" borderId="11" xfId="1" applyFont="1" applyBorder="1" applyAlignment="1">
      <alignment horizontal="justify" vertical="justify" wrapText="1"/>
    </xf>
    <xf numFmtId="3" fontId="37" fillId="9" borderId="5" xfId="1" applyNumberFormat="1" applyFont="1" applyFill="1" applyBorder="1" applyAlignment="1">
      <alignment horizontal="center" vertical="center" wrapText="1"/>
    </xf>
    <xf numFmtId="0" fontId="19" fillId="2" borderId="3" xfId="1" applyFont="1" applyFill="1" applyBorder="1" applyAlignment="1">
      <alignment horizontal="center" vertical="center"/>
    </xf>
    <xf numFmtId="0" fontId="4" fillId="5" borderId="1" xfId="1" applyFont="1" applyFill="1" applyBorder="1" applyAlignment="1">
      <alignment vertical="center" wrapText="1"/>
    </xf>
    <xf numFmtId="164" fontId="4" fillId="5" borderId="3" xfId="2" applyFont="1" applyFill="1" applyBorder="1" applyAlignment="1" applyProtection="1">
      <alignment vertical="center"/>
    </xf>
    <xf numFmtId="10" fontId="17" fillId="5" borderId="5" xfId="17" applyNumberFormat="1" applyFont="1" applyFill="1" applyBorder="1" applyAlignment="1" applyProtection="1">
      <alignment vertical="center"/>
    </xf>
    <xf numFmtId="0" fontId="37" fillId="0" borderId="0" xfId="1" applyFont="1"/>
    <xf numFmtId="167" fontId="37" fillId="0" borderId="0" xfId="1" applyNumberFormat="1" applyFont="1"/>
    <xf numFmtId="0" fontId="60" fillId="2" borderId="5" xfId="0" applyFont="1" applyFill="1" applyBorder="1" applyAlignment="1">
      <alignment horizontal="justify" vertical="center" wrapText="1"/>
    </xf>
    <xf numFmtId="171" fontId="9" fillId="2" borderId="5" xfId="0" applyNumberFormat="1" applyFont="1" applyFill="1" applyBorder="1" applyAlignment="1">
      <alignment horizontal="center" vertical="center"/>
    </xf>
    <xf numFmtId="172" fontId="9" fillId="2" borderId="5" xfId="66" applyNumberFormat="1" applyFont="1" applyFill="1" applyBorder="1" applyAlignment="1">
      <alignment vertical="center"/>
    </xf>
    <xf numFmtId="0" fontId="52" fillId="2" borderId="5" xfId="0" applyFont="1" applyFill="1" applyBorder="1" applyAlignment="1">
      <alignment horizontal="center" vertical="center"/>
    </xf>
    <xf numFmtId="0" fontId="29" fillId="2" borderId="0" xfId="1" applyFont="1" applyFill="1" applyAlignment="1">
      <alignment horizontal="justify" vertical="center" wrapText="1"/>
    </xf>
    <xf numFmtId="164" fontId="4" fillId="0" borderId="0" xfId="1" applyNumberFormat="1" applyFont="1" applyAlignment="1">
      <alignment vertical="center"/>
    </xf>
    <xf numFmtId="167" fontId="37" fillId="9" borderId="0" xfId="1" applyNumberFormat="1" applyFont="1" applyFill="1" applyAlignment="1">
      <alignment horizontal="right" vertical="center" wrapText="1"/>
    </xf>
    <xf numFmtId="0" fontId="34" fillId="0" borderId="0" xfId="1" applyFont="1" applyAlignment="1">
      <alignment horizontal="center" vertical="center" wrapText="1"/>
    </xf>
    <xf numFmtId="167" fontId="37" fillId="0" borderId="0" xfId="1" applyNumberFormat="1" applyFont="1" applyAlignment="1">
      <alignment vertical="center" wrapText="1"/>
    </xf>
    <xf numFmtId="0" fontId="62" fillId="0" borderId="0" xfId="1" applyFont="1" applyAlignment="1">
      <alignment horizontal="center" vertical="center"/>
    </xf>
    <xf numFmtId="0" fontId="56" fillId="0" borderId="0" xfId="1" applyFont="1" applyAlignment="1">
      <alignment horizontal="center" vertical="center" wrapText="1"/>
    </xf>
    <xf numFmtId="167" fontId="37" fillId="0" borderId="0" xfId="1" applyNumberFormat="1" applyFont="1" applyAlignment="1">
      <alignment vertical="center"/>
    </xf>
    <xf numFmtId="0" fontId="29" fillId="2" borderId="3" xfId="1" applyFont="1" applyFill="1" applyBorder="1" applyAlignment="1">
      <alignment vertical="center" wrapText="1"/>
    </xf>
    <xf numFmtId="0" fontId="29" fillId="2" borderId="0" xfId="1" applyFont="1" applyFill="1" applyAlignment="1">
      <alignment vertical="center" wrapText="1"/>
    </xf>
    <xf numFmtId="0" fontId="37" fillId="0" borderId="3" xfId="1" applyFont="1" applyBorder="1" applyAlignment="1">
      <alignment vertical="center"/>
    </xf>
    <xf numFmtId="0" fontId="62" fillId="0" borderId="3" xfId="1" applyFont="1" applyBorder="1" applyAlignment="1">
      <alignment vertical="center"/>
    </xf>
    <xf numFmtId="0" fontId="27" fillId="2" borderId="0" xfId="21" applyFont="1" applyFill="1" applyAlignment="1" applyProtection="1">
      <alignment vertical="center" wrapText="1"/>
    </xf>
    <xf numFmtId="0" fontId="29" fillId="3" borderId="0" xfId="1" applyFont="1" applyFill="1" applyAlignment="1">
      <alignment vertical="center" wrapText="1"/>
    </xf>
    <xf numFmtId="0" fontId="28" fillId="0" borderId="0" xfId="1" applyFont="1" applyAlignment="1">
      <alignment vertical="center"/>
    </xf>
    <xf numFmtId="3" fontId="37" fillId="9" borderId="3" xfId="1" applyNumberFormat="1" applyFont="1" applyFill="1" applyBorder="1" applyAlignment="1">
      <alignment horizontal="center" vertical="center" wrapText="1"/>
    </xf>
    <xf numFmtId="4" fontId="37" fillId="9" borderId="5" xfId="1" applyNumberFormat="1" applyFont="1" applyFill="1" applyBorder="1" applyAlignment="1">
      <alignment horizontal="right" vertical="center"/>
    </xf>
    <xf numFmtId="167" fontId="37" fillId="0" borderId="3" xfId="1" applyNumberFormat="1" applyFont="1" applyBorder="1" applyAlignment="1">
      <alignment vertical="center"/>
    </xf>
    <xf numFmtId="0" fontId="29" fillId="2" borderId="0" xfId="1" applyFont="1" applyFill="1" applyAlignment="1">
      <alignment vertical="justify" wrapText="1"/>
    </xf>
    <xf numFmtId="0" fontId="29" fillId="2" borderId="28" xfId="1" applyFont="1" applyFill="1" applyBorder="1" applyAlignment="1">
      <alignment horizontal="justify" vertical="justify" wrapText="1"/>
    </xf>
    <xf numFmtId="0" fontId="29" fillId="2" borderId="29" xfId="1" applyFont="1" applyFill="1" applyBorder="1" applyAlignment="1">
      <alignment horizontal="justify" vertical="justify" wrapText="1"/>
    </xf>
    <xf numFmtId="0" fontId="29" fillId="2" borderId="24" xfId="1" applyFont="1" applyFill="1" applyBorder="1" applyAlignment="1">
      <alignment horizontal="justify" vertical="justify" wrapText="1"/>
    </xf>
    <xf numFmtId="0" fontId="10" fillId="0" borderId="24" xfId="1" applyFont="1" applyBorder="1"/>
    <xf numFmtId="0" fontId="29" fillId="2" borderId="25" xfId="1" applyFont="1" applyFill="1" applyBorder="1" applyAlignment="1">
      <alignment horizontal="justify" vertical="justify" wrapText="1"/>
    </xf>
    <xf numFmtId="4" fontId="37" fillId="9" borderId="7" xfId="1" applyNumberFormat="1" applyFont="1" applyFill="1" applyBorder="1" applyAlignment="1">
      <alignment horizontal="right" vertical="center"/>
    </xf>
    <xf numFmtId="4" fontId="37" fillId="0" borderId="3" xfId="1" applyNumberFormat="1" applyFont="1" applyBorder="1" applyAlignment="1">
      <alignment horizontal="center" vertical="center"/>
    </xf>
    <xf numFmtId="0" fontId="27" fillId="2" borderId="0" xfId="21" applyFont="1" applyFill="1" applyAlignment="1" applyProtection="1">
      <alignment horizontal="center" vertical="center" wrapText="1"/>
    </xf>
    <xf numFmtId="0" fontId="29" fillId="3" borderId="0" xfId="1" applyFont="1" applyFill="1" applyAlignment="1">
      <alignment horizontal="center" vertical="center" wrapText="1"/>
    </xf>
    <xf numFmtId="0" fontId="28" fillId="0" borderId="0" xfId="1" applyFont="1" applyAlignment="1">
      <alignment horizontal="center" vertical="center"/>
    </xf>
    <xf numFmtId="0" fontId="27" fillId="2" borderId="0" xfId="1" applyFont="1" applyFill="1" applyAlignment="1">
      <alignment horizontal="justify" vertical="center" wrapText="1"/>
    </xf>
    <xf numFmtId="4" fontId="2" fillId="2" borderId="5" xfId="1" applyNumberFormat="1" applyFill="1" applyBorder="1" applyAlignment="1">
      <alignment horizontal="right" vertical="center" wrapText="1"/>
    </xf>
    <xf numFmtId="4" fontId="19" fillId="2" borderId="5" xfId="1" applyNumberFormat="1" applyFont="1" applyFill="1" applyBorder="1" applyAlignment="1">
      <alignment vertical="center" wrapText="1"/>
    </xf>
    <xf numFmtId="0" fontId="12" fillId="8" borderId="9" xfId="1" applyFont="1" applyFill="1" applyBorder="1" applyAlignment="1">
      <alignment horizontal="left" vertical="center" wrapText="1"/>
    </xf>
    <xf numFmtId="0" fontId="0" fillId="0" borderId="0" xfId="0" applyAlignment="1">
      <alignment vertical="center" wrapText="1"/>
    </xf>
    <xf numFmtId="171" fontId="3" fillId="0" borderId="5" xfId="0" applyNumberFormat="1" applyFont="1" applyBorder="1" applyAlignment="1">
      <alignment horizontal="center" vertical="center" wrapText="1"/>
    </xf>
    <xf numFmtId="0" fontId="73" fillId="0" borderId="0" xfId="0" applyFont="1" applyAlignment="1">
      <alignment vertical="center"/>
    </xf>
    <xf numFmtId="4" fontId="2" fillId="0" borderId="0" xfId="1" applyNumberFormat="1" applyAlignment="1">
      <alignment vertical="center"/>
    </xf>
    <xf numFmtId="164" fontId="4" fillId="12" borderId="5" xfId="1" applyNumberFormat="1" applyFont="1" applyFill="1" applyBorder="1" applyAlignment="1">
      <alignment vertical="center"/>
    </xf>
    <xf numFmtId="164" fontId="3" fillId="12" borderId="5" xfId="2" applyFont="1" applyFill="1" applyBorder="1" applyAlignment="1" applyProtection="1">
      <alignment vertical="center"/>
    </xf>
    <xf numFmtId="9" fontId="29" fillId="2" borderId="0" xfId="21" applyNumberFormat="1" applyFont="1" applyFill="1" applyAlignment="1" applyProtection="1">
      <alignment horizontal="center" vertical="center" wrapText="1"/>
    </xf>
    <xf numFmtId="0" fontId="19" fillId="12" borderId="5" xfId="1" applyFont="1" applyFill="1" applyBorder="1" applyAlignment="1">
      <alignment horizontal="center" vertical="center" wrapText="1"/>
    </xf>
    <xf numFmtId="0" fontId="19" fillId="12" borderId="0" xfId="1" applyFont="1" applyFill="1" applyAlignment="1">
      <alignment horizontal="center" vertical="center" wrapText="1"/>
    </xf>
    <xf numFmtId="3" fontId="77" fillId="2" borderId="5" xfId="1" applyNumberFormat="1" applyFont="1" applyFill="1" applyBorder="1" applyAlignment="1">
      <alignment horizontal="center" vertical="center" wrapText="1"/>
    </xf>
    <xf numFmtId="0" fontId="29" fillId="2" borderId="0" xfId="1" applyFont="1" applyFill="1" applyAlignment="1">
      <alignment horizontal="left" vertical="justify" wrapText="1"/>
    </xf>
    <xf numFmtId="0" fontId="29" fillId="2" borderId="3" xfId="1" applyFont="1" applyFill="1" applyBorder="1" applyAlignment="1">
      <alignment horizontal="center" vertical="center" wrapText="1"/>
    </xf>
    <xf numFmtId="0" fontId="29" fillId="2" borderId="0" xfId="1" applyFont="1" applyFill="1" applyAlignment="1">
      <alignment horizontal="left" vertical="center" wrapText="1"/>
    </xf>
    <xf numFmtId="0" fontId="37" fillId="9" borderId="2" xfId="1" applyFont="1" applyFill="1" applyBorder="1" applyAlignment="1">
      <alignment horizontal="center" vertical="center" wrapText="1"/>
    </xf>
    <xf numFmtId="0" fontId="62" fillId="0" borderId="1" xfId="1" applyFont="1" applyBorder="1" applyAlignment="1">
      <alignment horizontal="center" vertical="center"/>
    </xf>
    <xf numFmtId="0" fontId="62" fillId="0" borderId="2" xfId="1" applyFont="1" applyBorder="1" applyAlignment="1">
      <alignment horizontal="center" vertical="center"/>
    </xf>
    <xf numFmtId="0" fontId="37" fillId="0" borderId="2" xfId="1" applyFont="1" applyBorder="1" applyAlignment="1">
      <alignment horizontal="center" vertical="center"/>
    </xf>
    <xf numFmtId="0" fontId="62" fillId="0" borderId="3" xfId="1" applyFont="1" applyBorder="1" applyAlignment="1">
      <alignment horizontal="center" vertical="center"/>
    </xf>
    <xf numFmtId="0" fontId="37" fillId="0" borderId="5" xfId="1" applyFont="1" applyBorder="1" applyAlignment="1">
      <alignment horizontal="center" vertical="center" wrapText="1"/>
    </xf>
    <xf numFmtId="0" fontId="37" fillId="0" borderId="3" xfId="1" applyFont="1" applyBorder="1" applyAlignment="1">
      <alignment horizontal="center" vertical="center"/>
    </xf>
    <xf numFmtId="0" fontId="27" fillId="2" borderId="0" xfId="1" applyFont="1" applyFill="1" applyAlignment="1">
      <alignment vertical="center" wrapText="1"/>
    </xf>
    <xf numFmtId="0" fontId="27" fillId="2" borderId="0" xfId="21" applyFont="1" applyFill="1" applyAlignment="1" applyProtection="1">
      <alignment horizontal="justify" vertical="center" wrapText="1"/>
    </xf>
    <xf numFmtId="0" fontId="37" fillId="0" borderId="0" xfId="1" applyFont="1" applyAlignment="1">
      <alignment horizontal="center" vertical="center"/>
    </xf>
    <xf numFmtId="0" fontId="29" fillId="2" borderId="0" xfId="1" applyFont="1" applyFill="1" applyAlignment="1">
      <alignment horizontal="center" vertical="center" wrapText="1"/>
    </xf>
    <xf numFmtId="4" fontId="2" fillId="0" borderId="0" xfId="1" applyNumberFormat="1" applyAlignment="1">
      <alignment horizontal="right" vertical="center"/>
    </xf>
    <xf numFmtId="0" fontId="36" fillId="12" borderId="3" xfId="1" applyFont="1" applyFill="1" applyBorder="1" applyAlignment="1">
      <alignment horizontal="center" vertical="center" wrapText="1"/>
    </xf>
    <xf numFmtId="0" fontId="78" fillId="12" borderId="3" xfId="1" applyFont="1" applyFill="1" applyBorder="1" applyAlignment="1">
      <alignment horizontal="center" vertical="center" wrapText="1"/>
    </xf>
    <xf numFmtId="171" fontId="7" fillId="0" borderId="3" xfId="0" applyNumberFormat="1" applyFont="1" applyBorder="1" applyAlignment="1">
      <alignment horizontal="center"/>
    </xf>
    <xf numFmtId="0" fontId="60" fillId="2" borderId="5" xfId="0" applyFont="1" applyFill="1" applyBorder="1" applyAlignment="1">
      <alignment horizontal="center" vertical="center" wrapText="1"/>
    </xf>
    <xf numFmtId="0" fontId="0" fillId="0" borderId="0" xfId="0" applyAlignment="1">
      <alignment horizontal="center"/>
    </xf>
    <xf numFmtId="0" fontId="79" fillId="0" borderId="5" xfId="0" applyFont="1" applyBorder="1" applyAlignment="1">
      <alignment horizontal="center" vertical="center" wrapText="1"/>
    </xf>
    <xf numFmtId="0" fontId="80" fillId="0" borderId="5" xfId="0" applyFont="1" applyBorder="1" applyAlignment="1">
      <alignment horizontal="justify" vertical="center" wrapText="1"/>
    </xf>
    <xf numFmtId="1" fontId="8" fillId="0" borderId="3" xfId="0" applyNumberFormat="1" applyFont="1" applyBorder="1" applyAlignment="1">
      <alignment horizontal="center" vertical="center"/>
    </xf>
    <xf numFmtId="0" fontId="82" fillId="0" borderId="0" xfId="0" applyFont="1" applyAlignment="1">
      <alignment vertical="center"/>
    </xf>
    <xf numFmtId="0" fontId="88" fillId="0" borderId="0" xfId="69" applyFont="1" applyAlignment="1">
      <alignment horizontal="left" vertical="center"/>
    </xf>
    <xf numFmtId="0" fontId="88" fillId="0" borderId="0" xfId="69" applyFont="1"/>
    <xf numFmtId="0" fontId="88" fillId="0" borderId="0" xfId="69" applyFont="1" applyAlignment="1">
      <alignment horizontal="left"/>
    </xf>
    <xf numFmtId="0" fontId="88" fillId="0" borderId="0" xfId="69" applyFont="1" applyAlignment="1">
      <alignment horizontal="center" vertical="center"/>
    </xf>
    <xf numFmtId="0" fontId="89" fillId="0" borderId="5" xfId="69" applyFont="1" applyBorder="1" applyAlignment="1">
      <alignment horizontal="center" vertical="center" wrapText="1"/>
    </xf>
    <xf numFmtId="0" fontId="89" fillId="0" borderId="5" xfId="0" applyFont="1" applyBorder="1" applyAlignment="1">
      <alignment horizontal="center" vertical="center" wrapText="1"/>
    </xf>
    <xf numFmtId="0" fontId="1" fillId="0" borderId="0" xfId="0" applyFont="1" applyAlignment="1">
      <alignment horizontal="left" vertical="center"/>
    </xf>
    <xf numFmtId="0" fontId="83" fillId="0" borderId="26" xfId="0" applyFont="1" applyBorder="1" applyAlignment="1">
      <alignment horizontal="center" vertical="center" wrapText="1"/>
    </xf>
    <xf numFmtId="0" fontId="89" fillId="0" borderId="26" xfId="0" applyFont="1" applyBorder="1" applyAlignment="1">
      <alignment horizontal="center" vertical="center" wrapText="1"/>
    </xf>
    <xf numFmtId="0" fontId="88" fillId="0" borderId="0" xfId="69" applyFont="1" applyAlignment="1">
      <alignment horizontal="left" vertical="top"/>
    </xf>
    <xf numFmtId="0" fontId="83" fillId="0" borderId="5" xfId="0" applyFont="1" applyBorder="1" applyAlignment="1">
      <alignment horizontal="center" vertical="center" wrapText="1"/>
    </xf>
    <xf numFmtId="1" fontId="91" fillId="0" borderId="5" xfId="0" applyNumberFormat="1" applyFont="1" applyBorder="1" applyAlignment="1">
      <alignment horizontal="center" vertical="center" shrinkToFit="1"/>
    </xf>
    <xf numFmtId="1" fontId="91" fillId="0" borderId="5" xfId="0" applyNumberFormat="1" applyFont="1" applyBorder="1" applyAlignment="1">
      <alignment horizontal="center" vertical="top" shrinkToFit="1"/>
    </xf>
    <xf numFmtId="0" fontId="1" fillId="0" borderId="0" xfId="0" applyFont="1" applyAlignment="1">
      <alignment horizontal="left" vertical="top"/>
    </xf>
    <xf numFmtId="0" fontId="83" fillId="0" borderId="5" xfId="69" applyFont="1" applyBorder="1" applyAlignment="1">
      <alignment horizontal="center" vertical="top" wrapText="1"/>
    </xf>
    <xf numFmtId="1" fontId="91" fillId="0" borderId="5" xfId="69" applyNumberFormat="1" applyFont="1" applyBorder="1" applyAlignment="1">
      <alignment horizontal="center" vertical="center" shrinkToFit="1"/>
    </xf>
    <xf numFmtId="167" fontId="89" fillId="0" borderId="5" xfId="69" applyNumberFormat="1" applyFont="1" applyBorder="1" applyAlignment="1">
      <alignment horizontal="center" vertical="center" wrapText="1"/>
    </xf>
    <xf numFmtId="0" fontId="1" fillId="0" borderId="0" xfId="0" applyFont="1"/>
    <xf numFmtId="0" fontId="85" fillId="0" borderId="5" xfId="0" applyFont="1" applyBorder="1" applyAlignment="1">
      <alignment horizontal="center" vertical="center" wrapText="1"/>
    </xf>
    <xf numFmtId="171" fontId="102" fillId="2" borderId="5" xfId="0" applyNumberFormat="1" applyFont="1" applyFill="1" applyBorder="1" applyAlignment="1">
      <alignment horizontal="center" vertical="center"/>
    </xf>
    <xf numFmtId="0" fontId="1" fillId="0" borderId="0" xfId="0" applyFont="1" applyAlignment="1">
      <alignment vertical="center"/>
    </xf>
    <xf numFmtId="0" fontId="88" fillId="0" borderId="0" xfId="69" applyFont="1" applyAlignment="1">
      <alignment vertical="top" wrapText="1"/>
    </xf>
    <xf numFmtId="0" fontId="83" fillId="0" borderId="35" xfId="69" applyFont="1" applyBorder="1" applyAlignment="1">
      <alignment horizontal="center" vertical="top" wrapText="1"/>
    </xf>
    <xf numFmtId="0" fontId="83" fillId="0" borderId="35" xfId="69" applyFont="1" applyBorder="1" applyAlignment="1">
      <alignment horizontal="left" vertical="top" wrapText="1" indent="1"/>
    </xf>
    <xf numFmtId="0" fontId="88" fillId="0" borderId="35" xfId="69" applyFont="1" applyBorder="1" applyAlignment="1">
      <alignment horizontal="center" vertical="top" wrapText="1"/>
    </xf>
    <xf numFmtId="0" fontId="95" fillId="0" borderId="34" xfId="69" applyFont="1" applyBorder="1" applyAlignment="1">
      <alignment horizontal="center" vertical="top" wrapText="1"/>
    </xf>
    <xf numFmtId="1" fontId="91" fillId="0" borderId="35" xfId="69" applyNumberFormat="1" applyFont="1" applyBorder="1" applyAlignment="1">
      <alignment horizontal="center" vertical="center" shrinkToFit="1"/>
    </xf>
    <xf numFmtId="167" fontId="89" fillId="0" borderId="35" xfId="69" applyNumberFormat="1" applyFont="1" applyBorder="1" applyAlignment="1">
      <alignment horizontal="center" vertical="center" wrapText="1"/>
    </xf>
    <xf numFmtId="167" fontId="89" fillId="0" borderId="35" xfId="69" applyNumberFormat="1" applyFont="1" applyBorder="1" applyAlignment="1">
      <alignment horizontal="left" vertical="center" wrapText="1" indent="2"/>
    </xf>
    <xf numFmtId="167" fontId="83" fillId="0" borderId="34" xfId="69" applyNumberFormat="1" applyFont="1" applyBorder="1" applyAlignment="1">
      <alignment horizontal="center" vertical="center" wrapText="1"/>
    </xf>
    <xf numFmtId="1" fontId="91" fillId="0" borderId="33" xfId="69" applyNumberFormat="1" applyFont="1" applyBorder="1" applyAlignment="1">
      <alignment horizontal="center" vertical="center" shrinkToFit="1"/>
    </xf>
    <xf numFmtId="0" fontId="88" fillId="0" borderId="33" xfId="69" applyFont="1" applyBorder="1" applyAlignment="1">
      <alignment horizontal="left" vertical="top" wrapText="1" indent="1"/>
    </xf>
    <xf numFmtId="167" fontId="89" fillId="0" borderId="33" xfId="69" applyNumberFormat="1" applyFont="1" applyBorder="1" applyAlignment="1">
      <alignment horizontal="center" vertical="center" wrapText="1"/>
    </xf>
    <xf numFmtId="167" fontId="95" fillId="0" borderId="32" xfId="69" applyNumberFormat="1" applyFont="1" applyBorder="1" applyAlignment="1">
      <alignment horizontal="center" vertical="center" wrapText="1"/>
    </xf>
    <xf numFmtId="1" fontId="91" fillId="0" borderId="31" xfId="69" applyNumberFormat="1" applyFont="1" applyBorder="1" applyAlignment="1">
      <alignment horizontal="center" vertical="center" shrinkToFit="1"/>
    </xf>
    <xf numFmtId="0" fontId="88" fillId="0" borderId="30" xfId="69" applyFont="1" applyBorder="1" applyAlignment="1">
      <alignment horizontal="left" vertical="top" wrapText="1" indent="1"/>
    </xf>
    <xf numFmtId="1" fontId="91" fillId="0" borderId="30" xfId="69" applyNumberFormat="1" applyFont="1" applyBorder="1" applyAlignment="1">
      <alignment horizontal="center" vertical="center" shrinkToFit="1"/>
    </xf>
    <xf numFmtId="167" fontId="89" fillId="0" borderId="30" xfId="69" applyNumberFormat="1" applyFont="1" applyBorder="1" applyAlignment="1">
      <alignment horizontal="center" vertical="center" wrapText="1"/>
    </xf>
    <xf numFmtId="167" fontId="89" fillId="0" borderId="30" xfId="69" applyNumberFormat="1" applyFont="1" applyBorder="1" applyAlignment="1">
      <alignment horizontal="left" vertical="center" wrapText="1" indent="2"/>
    </xf>
    <xf numFmtId="167" fontId="95" fillId="0" borderId="30" xfId="69" applyNumberFormat="1" applyFont="1" applyBorder="1" applyAlignment="1">
      <alignment horizontal="center" vertical="center" wrapText="1"/>
    </xf>
    <xf numFmtId="0" fontId="83" fillId="0" borderId="35" xfId="0" applyFont="1" applyBorder="1" applyAlignment="1">
      <alignment horizontal="center" vertical="top" wrapText="1"/>
    </xf>
    <xf numFmtId="0" fontId="83" fillId="0" borderId="38" xfId="0" applyFont="1" applyBorder="1" applyAlignment="1">
      <alignment horizontal="center" vertical="top" wrapText="1"/>
    </xf>
    <xf numFmtId="0" fontId="83" fillId="0" borderId="34" xfId="0" applyFont="1" applyBorder="1" applyAlignment="1">
      <alignment horizontal="center" vertical="top" wrapText="1"/>
    </xf>
    <xf numFmtId="0" fontId="88" fillId="0" borderId="0" xfId="69" applyFont="1" applyAlignment="1">
      <alignment horizontal="center" vertical="top"/>
    </xf>
    <xf numFmtId="1" fontId="91" fillId="0" borderId="35" xfId="0" applyNumberFormat="1" applyFont="1" applyBorder="1" applyAlignment="1">
      <alignment horizontal="center" vertical="top" shrinkToFit="1"/>
    </xf>
    <xf numFmtId="0" fontId="89" fillId="0" borderId="38" xfId="0" applyFont="1" applyBorder="1" applyAlignment="1">
      <alignment vertical="top" wrapText="1"/>
    </xf>
    <xf numFmtId="0" fontId="89" fillId="0" borderId="34" xfId="0" applyFont="1" applyBorder="1" applyAlignment="1">
      <alignment horizontal="center" vertical="top" wrapText="1"/>
    </xf>
    <xf numFmtId="0" fontId="83" fillId="0" borderId="32" xfId="0" applyFont="1" applyBorder="1" applyAlignment="1">
      <alignment horizontal="center" vertical="top" wrapText="1"/>
    </xf>
    <xf numFmtId="0" fontId="83" fillId="0" borderId="31" xfId="0" applyFont="1" applyBorder="1" applyAlignment="1">
      <alignment horizontal="center" vertical="top" wrapText="1"/>
    </xf>
    <xf numFmtId="0" fontId="83" fillId="0" borderId="37" xfId="0" applyFont="1" applyBorder="1" applyAlignment="1">
      <alignment horizontal="center" vertical="top" wrapText="1"/>
    </xf>
    <xf numFmtId="167" fontId="83" fillId="0" borderId="34" xfId="0" applyNumberFormat="1" applyFont="1" applyBorder="1" applyAlignment="1">
      <alignment horizontal="center" vertical="top" wrapText="1"/>
    </xf>
    <xf numFmtId="0" fontId="1" fillId="2" borderId="0" xfId="0" applyFont="1" applyFill="1" applyAlignment="1">
      <alignment horizontal="left" vertical="top"/>
    </xf>
    <xf numFmtId="0" fontId="89" fillId="2" borderId="5" xfId="0" applyFont="1" applyFill="1" applyBorder="1" applyAlignment="1">
      <alignment horizontal="center" vertical="top" wrapText="1"/>
    </xf>
    <xf numFmtId="0" fontId="89" fillId="2" borderId="5" xfId="0" applyFont="1" applyFill="1" applyBorder="1" applyAlignment="1">
      <alignment horizontal="center" vertical="center" wrapText="1"/>
    </xf>
    <xf numFmtId="0" fontId="15" fillId="5" borderId="11" xfId="1" applyFont="1" applyFill="1" applyBorder="1" applyAlignment="1">
      <alignment horizontal="justify" vertical="center" wrapText="1"/>
    </xf>
    <xf numFmtId="0" fontId="15" fillId="0" borderId="11" xfId="1" applyFont="1" applyBorder="1" applyAlignment="1">
      <alignment horizontal="justify" vertical="center" wrapText="1"/>
    </xf>
    <xf numFmtId="0" fontId="2" fillId="16" borderId="0" xfId="1" applyFill="1" applyAlignment="1">
      <alignment vertical="center"/>
    </xf>
    <xf numFmtId="0" fontId="89" fillId="0" borderId="50" xfId="69" applyFont="1" applyBorder="1" applyAlignment="1">
      <alignment horizontal="center" vertical="top" wrapText="1"/>
    </xf>
    <xf numFmtId="0" fontId="89" fillId="0" borderId="46" xfId="69" applyFont="1" applyBorder="1" applyAlignment="1">
      <alignment horizontal="left" vertical="top" wrapText="1"/>
    </xf>
    <xf numFmtId="1" fontId="91" fillId="0" borderId="40" xfId="69" applyNumberFormat="1" applyFont="1" applyBorder="1" applyAlignment="1">
      <alignment horizontal="center" vertical="center" shrinkToFit="1"/>
    </xf>
    <xf numFmtId="0" fontId="88" fillId="0" borderId="0" xfId="69" applyFont="1" applyAlignment="1">
      <alignment vertical="center"/>
    </xf>
    <xf numFmtId="167" fontId="89" fillId="0" borderId="35" xfId="69" applyNumberFormat="1" applyFont="1" applyBorder="1" applyAlignment="1">
      <alignment horizontal="right" vertical="center" wrapText="1"/>
    </xf>
    <xf numFmtId="1" fontId="91" fillId="0" borderId="35" xfId="69" applyNumberFormat="1" applyFont="1" applyBorder="1" applyAlignment="1">
      <alignment horizontal="right" vertical="center" shrinkToFit="1"/>
    </xf>
    <xf numFmtId="167" fontId="89" fillId="0" borderId="40" xfId="69" applyNumberFormat="1" applyFont="1" applyBorder="1" applyAlignment="1">
      <alignment horizontal="right" vertical="center" wrapText="1"/>
    </xf>
    <xf numFmtId="1" fontId="91" fillId="0" borderId="40" xfId="69" applyNumberFormat="1" applyFont="1" applyBorder="1" applyAlignment="1">
      <alignment horizontal="right" vertical="center" shrinkToFit="1"/>
    </xf>
    <xf numFmtId="167" fontId="83" fillId="0" borderId="35" xfId="69" applyNumberFormat="1" applyFont="1" applyBorder="1" applyAlignment="1">
      <alignment horizontal="right" vertical="center" wrapText="1"/>
    </xf>
    <xf numFmtId="169" fontId="17" fillId="5" borderId="12" xfId="17" applyNumberFormat="1" applyFont="1" applyFill="1" applyBorder="1" applyAlignment="1" applyProtection="1">
      <alignment vertical="center"/>
    </xf>
    <xf numFmtId="0" fontId="20" fillId="12" borderId="11" xfId="1" applyFont="1" applyFill="1" applyBorder="1" applyAlignment="1">
      <alignment vertical="center" wrapText="1"/>
    </xf>
    <xf numFmtId="0" fontId="88" fillId="0" borderId="0" xfId="69" applyFont="1" applyAlignment="1">
      <alignment vertical="center" wrapText="1"/>
    </xf>
    <xf numFmtId="0" fontId="88" fillId="2" borderId="0" xfId="69" applyFont="1" applyFill="1" applyAlignment="1">
      <alignment horizontal="left" vertical="center"/>
    </xf>
    <xf numFmtId="0" fontId="89" fillId="2" borderId="53" xfId="0" applyFont="1" applyFill="1" applyBorder="1" applyAlignment="1">
      <alignment horizontal="center" vertical="center" wrapText="1"/>
    </xf>
    <xf numFmtId="171" fontId="84" fillId="0" borderId="4" xfId="0" applyNumberFormat="1" applyFont="1" applyBorder="1" applyAlignment="1">
      <alignment horizontal="center" vertical="center" wrapText="1"/>
    </xf>
    <xf numFmtId="0" fontId="0" fillId="2" borderId="0" xfId="0" applyFill="1" applyAlignment="1">
      <alignment vertical="justify" wrapText="1"/>
    </xf>
    <xf numFmtId="4" fontId="34" fillId="0" borderId="0" xfId="1" applyNumberFormat="1" applyFont="1"/>
    <xf numFmtId="0" fontId="29" fillId="2" borderId="26" xfId="1" applyFont="1" applyFill="1" applyBorder="1" applyAlignment="1">
      <alignment horizontal="center" vertical="center" wrapText="1"/>
    </xf>
    <xf numFmtId="0" fontId="83" fillId="0" borderId="5" xfId="69" applyFont="1" applyBorder="1" applyAlignment="1">
      <alignment horizontal="center" vertical="center" wrapText="1"/>
    </xf>
    <xf numFmtId="10" fontId="88" fillId="0" borderId="5" xfId="69" applyNumberFormat="1" applyFont="1" applyBorder="1" applyAlignment="1">
      <alignment horizontal="center" vertical="center" shrinkToFit="1"/>
    </xf>
    <xf numFmtId="10" fontId="88" fillId="0" borderId="5" xfId="0" applyNumberFormat="1" applyFont="1" applyBorder="1" applyAlignment="1">
      <alignment horizontal="center" vertical="center" shrinkToFit="1"/>
    </xf>
    <xf numFmtId="10" fontId="87" fillId="0" borderId="5" xfId="0" applyNumberFormat="1" applyFont="1" applyBorder="1" applyAlignment="1">
      <alignment horizontal="center" vertical="center" shrinkToFit="1"/>
    </xf>
    <xf numFmtId="10" fontId="87" fillId="0" borderId="26" xfId="0" applyNumberFormat="1" applyFont="1" applyBorder="1" applyAlignment="1">
      <alignment horizontal="center" vertical="center" shrinkToFit="1"/>
    </xf>
    <xf numFmtId="10" fontId="88" fillId="2" borderId="5" xfId="0" applyNumberFormat="1" applyFont="1" applyFill="1" applyBorder="1" applyAlignment="1">
      <alignment horizontal="center" vertical="center" shrinkToFit="1"/>
    </xf>
    <xf numFmtId="10" fontId="88" fillId="2" borderId="41" xfId="0" applyNumberFormat="1" applyFont="1" applyFill="1" applyBorder="1" applyAlignment="1">
      <alignment horizontal="center" vertical="center" shrinkToFit="1"/>
    </xf>
    <xf numFmtId="10" fontId="87" fillId="2" borderId="30" xfId="0" applyNumberFormat="1" applyFont="1" applyFill="1" applyBorder="1" applyAlignment="1">
      <alignment horizontal="center" vertical="center" shrinkToFit="1"/>
    </xf>
    <xf numFmtId="171" fontId="110" fillId="2" borderId="5" xfId="0" applyNumberFormat="1" applyFont="1" applyFill="1" applyBorder="1" applyAlignment="1">
      <alignment horizontal="center" vertical="center"/>
    </xf>
    <xf numFmtId="171" fontId="85" fillId="0" borderId="5" xfId="0" applyNumberFormat="1" applyFont="1" applyBorder="1" applyAlignment="1">
      <alignment horizontal="center" vertical="center" wrapText="1"/>
    </xf>
    <xf numFmtId="171" fontId="110" fillId="0" borderId="5" xfId="0" applyNumberFormat="1" applyFont="1" applyBorder="1" applyAlignment="1">
      <alignment horizontal="center" vertical="center"/>
    </xf>
    <xf numFmtId="171" fontId="85" fillId="0" borderId="4" xfId="0" applyNumberFormat="1" applyFont="1" applyBorder="1" applyAlignment="1">
      <alignment horizontal="center" vertical="center" wrapText="1"/>
    </xf>
    <xf numFmtId="169" fontId="88" fillId="2" borderId="5" xfId="0" applyNumberFormat="1" applyFont="1" applyFill="1" applyBorder="1" applyAlignment="1">
      <alignment horizontal="center" vertical="center" shrinkToFit="1"/>
    </xf>
    <xf numFmtId="0" fontId="29" fillId="2" borderId="6" xfId="1" applyFont="1" applyFill="1" applyBorder="1" applyAlignment="1">
      <alignment vertical="center" wrapText="1"/>
    </xf>
    <xf numFmtId="0" fontId="29" fillId="2" borderId="28" xfId="1" applyFont="1" applyFill="1" applyBorder="1" applyAlignment="1">
      <alignment vertical="center" wrapText="1"/>
    </xf>
    <xf numFmtId="0" fontId="27" fillId="2" borderId="0" xfId="21" applyFont="1" applyFill="1" applyBorder="1" applyAlignment="1" applyProtection="1">
      <alignment horizontal="center" vertical="center" wrapText="1"/>
    </xf>
    <xf numFmtId="0" fontId="27" fillId="2" borderId="28" xfId="21" applyFont="1" applyFill="1" applyBorder="1" applyAlignment="1" applyProtection="1">
      <alignment vertical="center" wrapText="1"/>
    </xf>
    <xf numFmtId="0" fontId="62" fillId="0" borderId="5" xfId="1" applyFont="1" applyBorder="1" applyAlignment="1">
      <alignment horizontal="center" vertical="center"/>
    </xf>
    <xf numFmtId="0" fontId="10" fillId="0" borderId="28" xfId="1" applyFont="1" applyBorder="1"/>
    <xf numFmtId="0" fontId="29" fillId="2" borderId="28" xfId="1" applyFont="1" applyFill="1" applyBorder="1" applyAlignment="1">
      <alignment vertical="justify" wrapText="1"/>
    </xf>
    <xf numFmtId="0" fontId="88" fillId="0" borderId="5" xfId="69" applyFont="1" applyBorder="1" applyAlignment="1">
      <alignment horizontal="left" vertical="center"/>
    </xf>
    <xf numFmtId="0" fontId="88" fillId="0" borderId="5" xfId="69" applyFont="1" applyBorder="1" applyAlignment="1">
      <alignment horizontal="left" vertical="top"/>
    </xf>
    <xf numFmtId="0" fontId="83" fillId="0" borderId="5" xfId="69" applyFont="1" applyBorder="1" applyAlignment="1">
      <alignment horizontal="left" vertical="center" wrapText="1"/>
    </xf>
    <xf numFmtId="0" fontId="89" fillId="0" borderId="5" xfId="69" applyFont="1" applyBorder="1" applyAlignment="1">
      <alignment horizontal="left" vertical="top" wrapText="1"/>
    </xf>
    <xf numFmtId="167" fontId="89" fillId="0" borderId="5" xfId="69" applyNumberFormat="1" applyFont="1" applyBorder="1" applyAlignment="1">
      <alignment horizontal="right" vertical="center" wrapText="1"/>
    </xf>
    <xf numFmtId="1" fontId="91" fillId="0" borderId="5" xfId="69" applyNumberFormat="1" applyFont="1" applyBorder="1" applyAlignment="1">
      <alignment horizontal="right" vertical="center" shrinkToFit="1"/>
    </xf>
    <xf numFmtId="0" fontId="89" fillId="0" borderId="5" xfId="69" applyFont="1" applyBorder="1" applyAlignment="1">
      <alignment horizontal="center" vertical="top" wrapText="1"/>
    </xf>
    <xf numFmtId="167" fontId="83" fillId="0" borderId="5" xfId="69" applyNumberFormat="1" applyFont="1" applyBorder="1" applyAlignment="1">
      <alignment horizontal="right" vertical="center" wrapText="1"/>
    </xf>
    <xf numFmtId="0" fontId="89" fillId="0" borderId="46" xfId="69" applyFont="1" applyBorder="1" applyAlignment="1">
      <alignment horizontal="center" vertical="top" wrapText="1"/>
    </xf>
    <xf numFmtId="167" fontId="89" fillId="0" borderId="35" xfId="69" applyNumberFormat="1" applyFont="1" applyBorder="1" applyAlignment="1">
      <alignment horizontal="justify" vertical="center" wrapText="1"/>
    </xf>
    <xf numFmtId="167" fontId="89" fillId="0" borderId="40" xfId="69" applyNumberFormat="1" applyFont="1" applyBorder="1" applyAlignment="1">
      <alignment horizontal="justify" vertical="center" wrapText="1"/>
    </xf>
    <xf numFmtId="0" fontId="73" fillId="0" borderId="59" xfId="0" applyFont="1" applyBorder="1" applyAlignment="1">
      <alignment vertical="center"/>
    </xf>
    <xf numFmtId="171" fontId="3" fillId="0" borderId="60" xfId="0" applyNumberFormat="1" applyFont="1" applyBorder="1" applyAlignment="1">
      <alignment horizontal="center" vertical="center" wrapText="1"/>
    </xf>
    <xf numFmtId="172" fontId="9" fillId="0" borderId="60" xfId="66" applyNumberFormat="1" applyFont="1" applyBorder="1" applyAlignment="1">
      <alignment vertical="center"/>
    </xf>
    <xf numFmtId="0" fontId="0" fillId="0" borderId="59" xfId="0" applyBorder="1" applyAlignment="1">
      <alignment vertical="center"/>
    </xf>
    <xf numFmtId="172" fontId="8" fillId="0" borderId="60" xfId="66" applyNumberFormat="1" applyFont="1" applyBorder="1" applyAlignment="1">
      <alignment vertical="center"/>
    </xf>
    <xf numFmtId="0" fontId="0" fillId="0" borderId="63" xfId="0" applyBorder="1" applyAlignment="1">
      <alignment vertical="center"/>
    </xf>
    <xf numFmtId="0" fontId="0" fillId="0" borderId="64" xfId="0" applyBorder="1" applyAlignment="1">
      <alignment vertical="center"/>
    </xf>
    <xf numFmtId="1" fontId="8" fillId="0" borderId="67" xfId="0" applyNumberFormat="1" applyFont="1" applyBorder="1" applyAlignment="1">
      <alignment horizontal="center" vertical="center"/>
    </xf>
    <xf numFmtId="172" fontId="8" fillId="0" borderId="68" xfId="66" applyNumberFormat="1" applyFont="1" applyBorder="1" applyAlignment="1">
      <alignment vertical="center"/>
    </xf>
    <xf numFmtId="0" fontId="83" fillId="0" borderId="69" xfId="69" applyFont="1" applyBorder="1" applyAlignment="1">
      <alignment horizontal="center" vertical="center" wrapText="1"/>
    </xf>
    <xf numFmtId="0" fontId="83" fillId="0" borderId="41" xfId="69" applyFont="1" applyBorder="1" applyAlignment="1">
      <alignment horizontal="left" vertical="center" wrapText="1"/>
    </xf>
    <xf numFmtId="0" fontId="83" fillId="0" borderId="41" xfId="69" applyFont="1" applyBorder="1" applyAlignment="1">
      <alignment horizontal="center" vertical="center" wrapText="1"/>
    </xf>
    <xf numFmtId="0" fontId="1" fillId="0" borderId="0" xfId="0" applyFont="1" applyAlignment="1">
      <alignment horizontal="center" vertical="top" wrapText="1"/>
    </xf>
    <xf numFmtId="0" fontId="101" fillId="2" borderId="5" xfId="0" applyFont="1" applyFill="1" applyBorder="1" applyAlignment="1">
      <alignment horizontal="center" vertical="center" wrapText="1"/>
    </xf>
    <xf numFmtId="0" fontId="82" fillId="0" borderId="5" xfId="0" applyFont="1" applyBorder="1" applyAlignment="1">
      <alignment horizontal="center" vertical="center"/>
    </xf>
    <xf numFmtId="0" fontId="114" fillId="0" borderId="5" xfId="0" applyFont="1" applyBorder="1" applyAlignment="1">
      <alignment horizontal="center" vertical="center"/>
    </xf>
    <xf numFmtId="1" fontId="103" fillId="0" borderId="5" xfId="68" applyNumberFormat="1" applyFont="1" applyBorder="1" applyAlignment="1">
      <alignment horizontal="center" vertical="center"/>
    </xf>
    <xf numFmtId="0" fontId="33" fillId="0" borderId="5" xfId="0" applyFont="1" applyBorder="1" applyAlignment="1">
      <alignment horizontal="center" vertical="center"/>
    </xf>
    <xf numFmtId="0" fontId="0" fillId="0" borderId="5" xfId="0" applyBorder="1" applyAlignment="1">
      <alignment vertical="center"/>
    </xf>
    <xf numFmtId="0" fontId="31" fillId="2" borderId="0" xfId="1" applyFont="1" applyFill="1" applyAlignment="1">
      <alignment wrapText="1"/>
    </xf>
    <xf numFmtId="0" fontId="2" fillId="2" borderId="0" xfId="1" applyFill="1"/>
    <xf numFmtId="0" fontId="2" fillId="17" borderId="4" xfId="1" applyFill="1" applyBorder="1" applyAlignment="1">
      <alignment horizontal="center" vertical="center"/>
    </xf>
    <xf numFmtId="0" fontId="19" fillId="17" borderId="4" xfId="1" applyFont="1" applyFill="1" applyBorder="1" applyAlignment="1">
      <alignment horizontal="center" vertical="center" wrapText="1"/>
    </xf>
    <xf numFmtId="0" fontId="115" fillId="18" borderId="4" xfId="1" applyFont="1" applyFill="1" applyBorder="1" applyAlignment="1">
      <alignment horizontal="center" vertical="center" wrapText="1"/>
    </xf>
    <xf numFmtId="0" fontId="2" fillId="0" borderId="0" xfId="1" applyAlignment="1">
      <alignment horizontal="center" vertical="center"/>
    </xf>
    <xf numFmtId="0" fontId="2" fillId="0" borderId="4" xfId="1" applyBorder="1" applyAlignment="1">
      <alignment horizontal="center" vertical="center"/>
    </xf>
    <xf numFmtId="0" fontId="2" fillId="2" borderId="4" xfId="1" applyFill="1" applyBorder="1" applyAlignment="1">
      <alignment horizontal="center" vertical="center" wrapText="1"/>
    </xf>
    <xf numFmtId="14" fontId="2" fillId="2" borderId="4" xfId="1" applyNumberFormat="1" applyFill="1" applyBorder="1" applyAlignment="1">
      <alignment horizontal="center" vertical="center" wrapText="1"/>
    </xf>
    <xf numFmtId="173" fontId="2" fillId="0" borderId="4" xfId="70" applyFill="1" applyBorder="1" applyAlignment="1">
      <alignment horizontal="center" vertical="center" wrapText="1"/>
    </xf>
    <xf numFmtId="165" fontId="2" fillId="0" borderId="4" xfId="1" applyNumberFormat="1" applyBorder="1" applyAlignment="1">
      <alignment horizontal="center" vertical="center" wrapText="1"/>
    </xf>
    <xf numFmtId="3" fontId="2" fillId="0" borderId="4" xfId="1" applyNumberFormat="1" applyBorder="1" applyAlignment="1">
      <alignment horizontal="center" vertical="center" wrapText="1"/>
    </xf>
    <xf numFmtId="165" fontId="2" fillId="2" borderId="4" xfId="1" applyNumberFormat="1" applyFill="1" applyBorder="1" applyAlignment="1">
      <alignment horizontal="center" vertical="center" wrapText="1"/>
    </xf>
    <xf numFmtId="165" fontId="2" fillId="0" borderId="5" xfId="1" applyNumberFormat="1" applyBorder="1" applyAlignment="1">
      <alignment horizontal="center" vertical="center" wrapText="1"/>
    </xf>
    <xf numFmtId="14" fontId="118" fillId="0" borderId="4" xfId="1" applyNumberFormat="1" applyFont="1" applyBorder="1" applyAlignment="1">
      <alignment horizontal="center" vertical="center" wrapText="1"/>
    </xf>
    <xf numFmtId="165" fontId="2" fillId="17" borderId="5" xfId="1" applyNumberFormat="1" applyFill="1" applyBorder="1" applyAlignment="1">
      <alignment horizontal="center" vertical="center" wrapText="1"/>
    </xf>
    <xf numFmtId="165" fontId="2" fillId="17" borderId="4" xfId="1" applyNumberFormat="1" applyFill="1" applyBorder="1" applyAlignment="1">
      <alignment horizontal="center" vertical="center" wrapText="1"/>
    </xf>
    <xf numFmtId="165" fontId="2" fillId="18" borderId="4" xfId="1" applyNumberFormat="1" applyFill="1" applyBorder="1" applyAlignment="1">
      <alignment horizontal="center" vertical="center" wrapText="1"/>
    </xf>
    <xf numFmtId="0" fontId="2" fillId="0" borderId="5" xfId="1" applyBorder="1" applyAlignment="1">
      <alignment horizontal="center" vertical="center"/>
    </xf>
    <xf numFmtId="173" fontId="2" fillId="0" borderId="5" xfId="70" applyFill="1" applyBorder="1" applyAlignment="1">
      <alignment horizontal="center" vertical="center" wrapText="1"/>
    </xf>
    <xf numFmtId="3" fontId="2" fillId="0" borderId="5" xfId="1" applyNumberFormat="1" applyBorder="1" applyAlignment="1">
      <alignment horizontal="center" vertical="center" wrapText="1"/>
    </xf>
    <xf numFmtId="165" fontId="2" fillId="2" borderId="5" xfId="1" applyNumberFormat="1" applyFill="1" applyBorder="1" applyAlignment="1">
      <alignment horizontal="center" vertical="center" wrapText="1"/>
    </xf>
    <xf numFmtId="14" fontId="118" fillId="0" borderId="5" xfId="1" applyNumberFormat="1" applyFont="1" applyBorder="1" applyAlignment="1">
      <alignment horizontal="center" vertical="center" wrapText="1"/>
    </xf>
    <xf numFmtId="0" fontId="2" fillId="2" borderId="0" xfId="1" applyFill="1" applyAlignment="1">
      <alignment horizontal="center" vertical="center"/>
    </xf>
    <xf numFmtId="0" fontId="2" fillId="0" borderId="5" xfId="1" applyBorder="1" applyAlignment="1">
      <alignment horizontal="center" vertical="center" wrapText="1"/>
    </xf>
    <xf numFmtId="8" fontId="2" fillId="0" borderId="5" xfId="1" applyNumberFormat="1" applyBorder="1" applyAlignment="1">
      <alignment horizontal="right" vertical="center" wrapText="1"/>
    </xf>
    <xf numFmtId="173" fontId="2" fillId="0" borderId="5" xfId="1" applyNumberFormat="1" applyBorder="1" applyAlignment="1">
      <alignment horizontal="right" vertical="center" wrapText="1"/>
    </xf>
    <xf numFmtId="8" fontId="2" fillId="17" borderId="5" xfId="1" applyNumberFormat="1" applyFill="1" applyBorder="1" applyAlignment="1">
      <alignment horizontal="right" vertical="center" wrapText="1"/>
    </xf>
    <xf numFmtId="8" fontId="2" fillId="18" borderId="5" xfId="1" applyNumberFormat="1" applyFill="1" applyBorder="1" applyAlignment="1">
      <alignment horizontal="right" vertical="center" wrapText="1"/>
    </xf>
    <xf numFmtId="8" fontId="2" fillId="2" borderId="5" xfId="1" applyNumberFormat="1" applyFill="1" applyBorder="1" applyAlignment="1">
      <alignment horizontal="right" vertical="center" wrapText="1"/>
    </xf>
    <xf numFmtId="0" fontId="77" fillId="2" borderId="4" xfId="1" applyFont="1" applyFill="1" applyBorder="1" applyAlignment="1">
      <alignment horizontal="center" vertical="center" wrapText="1"/>
    </xf>
    <xf numFmtId="0" fontId="77" fillId="17" borderId="4" xfId="1" applyFont="1" applyFill="1" applyBorder="1" applyAlignment="1">
      <alignment horizontal="center" vertical="center" wrapText="1"/>
    </xf>
    <xf numFmtId="173" fontId="19" fillId="17" borderId="4" xfId="1" applyNumberFormat="1" applyFont="1" applyFill="1" applyBorder="1" applyAlignment="1">
      <alignment vertical="center" wrapText="1"/>
    </xf>
    <xf numFmtId="165" fontId="19" fillId="17" borderId="4" xfId="1" applyNumberFormat="1" applyFont="1" applyFill="1" applyBorder="1" applyAlignment="1">
      <alignment vertical="center" wrapText="1"/>
    </xf>
    <xf numFmtId="165" fontId="19" fillId="18" borderId="4" xfId="1" applyNumberFormat="1" applyFont="1" applyFill="1" applyBorder="1" applyAlignment="1">
      <alignment vertical="center" wrapText="1"/>
    </xf>
    <xf numFmtId="165" fontId="19" fillId="2" borderId="4" xfId="1" applyNumberFormat="1" applyFont="1" applyFill="1" applyBorder="1" applyAlignment="1">
      <alignment vertical="center" wrapText="1"/>
    </xf>
    <xf numFmtId="0" fontId="77" fillId="2" borderId="5" xfId="1" applyFont="1" applyFill="1" applyBorder="1" applyAlignment="1">
      <alignment horizontal="center" vertical="center" wrapText="1"/>
    </xf>
    <xf numFmtId="0" fontId="77" fillId="17" borderId="5" xfId="1" applyFont="1" applyFill="1" applyBorder="1" applyAlignment="1">
      <alignment horizontal="center" vertical="center" wrapText="1"/>
    </xf>
    <xf numFmtId="8" fontId="19" fillId="17" borderId="5" xfId="1" applyNumberFormat="1" applyFont="1" applyFill="1" applyBorder="1" applyAlignment="1">
      <alignment vertical="center" wrapText="1"/>
    </xf>
    <xf numFmtId="8" fontId="19" fillId="18" borderId="5" xfId="1" applyNumberFormat="1" applyFont="1" applyFill="1" applyBorder="1" applyAlignment="1">
      <alignment vertical="center" wrapText="1"/>
    </xf>
    <xf numFmtId="8" fontId="19" fillId="2" borderId="5" xfId="1" applyNumberFormat="1" applyFont="1" applyFill="1" applyBorder="1" applyAlignment="1">
      <alignment vertical="center" wrapText="1"/>
    </xf>
    <xf numFmtId="165" fontId="77" fillId="17" borderId="76" xfId="1" applyNumberFormat="1" applyFont="1" applyFill="1" applyBorder="1" applyAlignment="1">
      <alignment vertical="center"/>
    </xf>
    <xf numFmtId="165" fontId="77" fillId="17" borderId="74" xfId="1" applyNumberFormat="1" applyFont="1" applyFill="1" applyBorder="1" applyAlignment="1">
      <alignment vertical="center"/>
    </xf>
    <xf numFmtId="165" fontId="77" fillId="0" borderId="74" xfId="1" applyNumberFormat="1" applyFont="1" applyBorder="1" applyAlignment="1">
      <alignment vertical="center"/>
    </xf>
    <xf numFmtId="0" fontId="77" fillId="0" borderId="74" xfId="1" applyFont="1" applyBorder="1" applyAlignment="1">
      <alignment vertical="center"/>
    </xf>
    <xf numFmtId="0" fontId="77" fillId="0" borderId="75" xfId="1" applyFont="1" applyBorder="1" applyAlignment="1">
      <alignment vertical="center"/>
    </xf>
    <xf numFmtId="0" fontId="77" fillId="0" borderId="76" xfId="1" applyFont="1" applyBorder="1" applyAlignment="1">
      <alignment vertical="center"/>
    </xf>
    <xf numFmtId="165" fontId="77" fillId="18" borderId="76" xfId="1" applyNumberFormat="1" applyFont="1" applyFill="1" applyBorder="1" applyAlignment="1">
      <alignment vertical="center"/>
    </xf>
    <xf numFmtId="165" fontId="77" fillId="2" borderId="76" xfId="1" applyNumberFormat="1" applyFont="1" applyFill="1" applyBorder="1" applyAlignment="1">
      <alignment vertical="center"/>
    </xf>
    <xf numFmtId="0" fontId="2" fillId="2" borderId="0" xfId="1" applyFill="1" applyAlignment="1">
      <alignment horizontal="left" vertical="center" wrapText="1"/>
    </xf>
    <xf numFmtId="0" fontId="2" fillId="0" borderId="0" xfId="1" applyAlignment="1">
      <alignment horizontal="left" vertical="center" wrapText="1"/>
    </xf>
    <xf numFmtId="167" fontId="2" fillId="0" borderId="0" xfId="1" applyNumberFormat="1"/>
    <xf numFmtId="9" fontId="2" fillId="0" borderId="0" xfId="1" applyNumberFormat="1"/>
    <xf numFmtId="10" fontId="2" fillId="0" borderId="0" xfId="1" applyNumberFormat="1"/>
    <xf numFmtId="165" fontId="2" fillId="0" borderId="0" xfId="1" applyNumberFormat="1"/>
    <xf numFmtId="165" fontId="2" fillId="2" borderId="0" xfId="1" applyNumberFormat="1" applyFill="1"/>
    <xf numFmtId="173" fontId="2" fillId="0" borderId="5" xfId="1" applyNumberFormat="1" applyBorder="1" applyAlignment="1">
      <alignment horizontal="center" vertical="center"/>
    </xf>
    <xf numFmtId="44" fontId="29" fillId="2" borderId="0" xfId="66" applyFont="1" applyFill="1" applyAlignment="1">
      <alignment horizontal="justify" vertical="justify" wrapText="1"/>
    </xf>
    <xf numFmtId="44" fontId="78" fillId="12" borderId="3" xfId="66" applyFont="1" applyFill="1" applyBorder="1" applyAlignment="1">
      <alignment horizontal="center" vertical="center" wrapText="1"/>
    </xf>
    <xf numFmtId="44" fontId="37" fillId="9" borderId="5" xfId="66" applyFont="1" applyFill="1" applyBorder="1" applyAlignment="1">
      <alignment horizontal="right" vertical="center"/>
    </xf>
    <xf numFmtId="44" fontId="37" fillId="0" borderId="5" xfId="66" applyFont="1" applyFill="1" applyBorder="1" applyAlignment="1">
      <alignment horizontal="center" vertical="center" wrapText="1"/>
    </xf>
    <xf numFmtId="44" fontId="10" fillId="0" borderId="0" xfId="66" applyFont="1"/>
    <xf numFmtId="44" fontId="2" fillId="2" borderId="3" xfId="66" applyFont="1" applyFill="1" applyBorder="1" applyAlignment="1">
      <alignment horizontal="right" vertical="center" wrapText="1"/>
    </xf>
    <xf numFmtId="0" fontId="19" fillId="12" borderId="3" xfId="1" applyFont="1" applyFill="1" applyBorder="1" applyAlignment="1">
      <alignment horizontal="center" vertical="center" wrapText="1"/>
    </xf>
    <xf numFmtId="44" fontId="19" fillId="12" borderId="5" xfId="66" applyFont="1" applyFill="1" applyBorder="1" applyAlignment="1">
      <alignment horizontal="center" vertical="center" wrapText="1"/>
    </xf>
    <xf numFmtId="44" fontId="34" fillId="0" borderId="0" xfId="1" applyNumberFormat="1" applyFont="1"/>
    <xf numFmtId="0" fontId="83" fillId="0" borderId="5" xfId="69" applyFont="1" applyBorder="1" applyAlignment="1">
      <alignment vertical="center" wrapText="1"/>
    </xf>
    <xf numFmtId="17" fontId="2" fillId="2" borderId="5" xfId="1" applyNumberFormat="1" applyFill="1" applyBorder="1" applyAlignment="1">
      <alignment horizontal="center" vertical="center" wrapText="1"/>
    </xf>
    <xf numFmtId="44" fontId="10" fillId="0" borderId="0" xfId="1" applyNumberFormat="1" applyFont="1"/>
    <xf numFmtId="0" fontId="45"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right" vertical="center" wrapText="1"/>
    </xf>
    <xf numFmtId="0" fontId="3" fillId="9" borderId="0" xfId="0" applyFont="1" applyFill="1" applyAlignment="1">
      <alignment horizontal="center" vertical="center" wrapText="1"/>
    </xf>
    <xf numFmtId="14" fontId="40" fillId="0" borderId="0" xfId="0" applyNumberFormat="1" applyFont="1" applyAlignment="1">
      <alignment horizontal="center" vertical="center" wrapText="1"/>
    </xf>
    <xf numFmtId="0" fontId="40" fillId="0" borderId="0" xfId="0" applyFont="1" applyAlignment="1">
      <alignment horizontal="center" vertical="center" wrapText="1"/>
    </xf>
    <xf numFmtId="49" fontId="40" fillId="0" borderId="0" xfId="0" applyNumberFormat="1" applyFont="1" applyAlignment="1">
      <alignment horizontal="center" vertical="center" wrapText="1"/>
    </xf>
    <xf numFmtId="0" fontId="48" fillId="0" borderId="0" xfId="0" applyFont="1" applyAlignment="1">
      <alignment horizontal="left" vertical="center" wrapText="1"/>
    </xf>
    <xf numFmtId="0" fontId="3" fillId="8" borderId="0" xfId="1" applyFont="1" applyFill="1" applyAlignment="1">
      <alignment horizontal="left" vertical="center" wrapText="1"/>
    </xf>
    <xf numFmtId="0" fontId="3" fillId="5" borderId="0" xfId="1" applyFont="1" applyFill="1" applyAlignment="1">
      <alignment horizontal="center" vertical="center" wrapText="1"/>
    </xf>
    <xf numFmtId="0" fontId="3" fillId="9" borderId="0" xfId="1" applyFont="1" applyFill="1" applyAlignment="1">
      <alignment horizontal="center" vertical="center" wrapText="1"/>
    </xf>
    <xf numFmtId="0" fontId="69" fillId="0" borderId="5" xfId="0" applyFont="1" applyBorder="1" applyAlignment="1">
      <alignment horizontal="center" vertical="center" wrapText="1"/>
    </xf>
    <xf numFmtId="49" fontId="4" fillId="2" borderId="5" xfId="1" applyNumberFormat="1" applyFont="1" applyFill="1" applyBorder="1"/>
    <xf numFmtId="49" fontId="4" fillId="2" borderId="5" xfId="3" applyNumberFormat="1" applyFont="1" applyFill="1" applyBorder="1" applyAlignment="1"/>
    <xf numFmtId="167" fontId="4" fillId="2" borderId="5" xfId="1" applyNumberFormat="1" applyFont="1" applyFill="1" applyBorder="1"/>
    <xf numFmtId="0" fontId="4" fillId="2" borderId="5" xfId="1" applyFont="1" applyFill="1" applyBorder="1"/>
    <xf numFmtId="14" fontId="4" fillId="2" borderId="5" xfId="1" applyNumberFormat="1" applyFont="1" applyFill="1" applyBorder="1"/>
    <xf numFmtId="0" fontId="3" fillId="5" borderId="1" xfId="1" applyFont="1" applyFill="1" applyBorder="1" applyAlignment="1">
      <alignment vertical="center" wrapText="1"/>
    </xf>
    <xf numFmtId="0" fontId="3" fillId="5" borderId="2" xfId="1" applyFont="1" applyFill="1" applyBorder="1" applyAlignment="1">
      <alignment vertical="center" wrapText="1"/>
    </xf>
    <xf numFmtId="0" fontId="3" fillId="5" borderId="3" xfId="1" applyFont="1" applyFill="1" applyBorder="1" applyAlignment="1">
      <alignment vertical="center" wrapText="1"/>
    </xf>
    <xf numFmtId="0" fontId="3" fillId="14" borderId="5" xfId="1" applyFont="1" applyFill="1" applyBorder="1" applyAlignment="1">
      <alignment horizontal="center" vertical="center" wrapText="1"/>
    </xf>
    <xf numFmtId="0" fontId="3" fillId="14" borderId="0" xfId="1" applyFont="1" applyFill="1" applyAlignment="1">
      <alignment horizontal="center" vertical="center" wrapText="1"/>
    </xf>
    <xf numFmtId="0" fontId="3" fillId="14" borderId="4" xfId="1" applyFont="1" applyFill="1" applyBorder="1" applyAlignment="1">
      <alignment horizontal="center" vertical="center" wrapText="1"/>
    </xf>
    <xf numFmtId="0" fontId="3" fillId="10" borderId="1" xfId="1" applyFont="1" applyFill="1" applyBorder="1" applyAlignment="1">
      <alignment vertical="center" wrapText="1"/>
    </xf>
    <xf numFmtId="0" fontId="3" fillId="10" borderId="2" xfId="1" applyFont="1" applyFill="1" applyBorder="1" applyAlignment="1">
      <alignment vertical="center" wrapText="1"/>
    </xf>
    <xf numFmtId="0" fontId="3" fillId="10" borderId="3" xfId="1" applyFont="1" applyFill="1" applyBorder="1" applyAlignment="1">
      <alignment vertical="center" wrapText="1"/>
    </xf>
    <xf numFmtId="0" fontId="88" fillId="0" borderId="41" xfId="69" applyFont="1" applyBorder="1" applyAlignment="1">
      <alignment horizontal="left" vertical="center" wrapText="1"/>
    </xf>
    <xf numFmtId="0" fontId="29" fillId="3" borderId="0" xfId="1" applyFont="1" applyFill="1" applyAlignment="1">
      <alignment horizontal="center" vertical="center" wrapText="1"/>
    </xf>
    <xf numFmtId="0" fontId="28" fillId="0" borderId="0" xfId="1" applyFont="1" applyAlignment="1">
      <alignment horizontal="center" vertical="center"/>
    </xf>
    <xf numFmtId="0" fontId="31" fillId="2" borderId="0" xfId="1" applyFont="1" applyFill="1" applyAlignment="1">
      <alignment horizontal="left" wrapText="1"/>
    </xf>
    <xf numFmtId="0" fontId="63" fillId="2" borderId="0" xfId="1" applyFont="1" applyFill="1" applyAlignment="1">
      <alignment horizontal="left" wrapText="1"/>
    </xf>
    <xf numFmtId="0" fontId="54" fillId="2" borderId="0" xfId="1" applyFont="1" applyFill="1" applyAlignment="1">
      <alignment horizontal="left" wrapText="1"/>
    </xf>
    <xf numFmtId="0" fontId="62" fillId="0" borderId="1" xfId="1" applyFont="1" applyBorder="1" applyAlignment="1">
      <alignment horizontal="center" vertical="center"/>
    </xf>
    <xf numFmtId="0" fontId="62" fillId="0" borderId="2" xfId="1" applyFont="1" applyBorder="1" applyAlignment="1">
      <alignment horizontal="center" vertical="center"/>
    </xf>
    <xf numFmtId="0" fontId="62" fillId="0" borderId="3" xfId="1" applyFont="1" applyBorder="1" applyAlignment="1">
      <alignment horizontal="center" vertical="center"/>
    </xf>
    <xf numFmtId="0" fontId="27" fillId="2" borderId="0" xfId="1" applyFont="1" applyFill="1" applyAlignment="1">
      <alignment horizontal="center" vertical="center" wrapText="1"/>
    </xf>
    <xf numFmtId="0" fontId="29" fillId="2" borderId="1" xfId="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3" xfId="1" applyFont="1" applyFill="1" applyBorder="1" applyAlignment="1">
      <alignment horizontal="center" vertical="center" wrapText="1"/>
    </xf>
    <xf numFmtId="0" fontId="27" fillId="2" borderId="0" xfId="1" applyFont="1" applyFill="1" applyAlignment="1">
      <alignment vertical="center" wrapText="1"/>
    </xf>
    <xf numFmtId="0" fontId="27" fillId="2" borderId="0" xfId="21" applyFont="1" applyFill="1" applyAlignment="1" applyProtection="1">
      <alignment horizontal="justify" vertical="center" wrapText="1"/>
    </xf>
    <xf numFmtId="0" fontId="27" fillId="2" borderId="0" xfId="1" applyFont="1" applyFill="1" applyAlignment="1">
      <alignment horizontal="justify" vertical="center" wrapText="1"/>
    </xf>
    <xf numFmtId="0" fontId="2" fillId="2" borderId="8" xfId="1" applyFill="1" applyBorder="1" applyAlignment="1">
      <alignment horizontal="center" vertical="center"/>
    </xf>
    <xf numFmtId="0" fontId="37" fillId="9" borderId="1" xfId="1" applyFont="1" applyFill="1" applyBorder="1" applyAlignment="1">
      <alignment horizontal="center" vertical="center" wrapText="1"/>
    </xf>
    <xf numFmtId="0" fontId="37" fillId="9" borderId="2" xfId="1" applyFont="1" applyFill="1" applyBorder="1" applyAlignment="1">
      <alignment horizontal="center" vertical="center" wrapText="1"/>
    </xf>
    <xf numFmtId="0" fontId="37" fillId="0" borderId="5" xfId="1" applyFont="1" applyBorder="1" applyAlignment="1">
      <alignment horizontal="center" vertical="center" wrapText="1"/>
    </xf>
    <xf numFmtId="0" fontId="37" fillId="0" borderId="1" xfId="1" applyFont="1" applyBorder="1" applyAlignment="1">
      <alignment horizontal="center" vertical="center"/>
    </xf>
    <xf numFmtId="0" fontId="37" fillId="0" borderId="2" xfId="1" applyFont="1" applyBorder="1" applyAlignment="1">
      <alignment horizontal="center" vertical="center"/>
    </xf>
    <xf numFmtId="0" fontId="37" fillId="0" borderId="5" xfId="1" applyFont="1" applyBorder="1" applyAlignment="1">
      <alignment horizontal="center" vertical="center"/>
    </xf>
    <xf numFmtId="0" fontId="37" fillId="0" borderId="3" xfId="1" applyFont="1" applyBorder="1" applyAlignment="1">
      <alignment horizontal="center" vertical="center"/>
    </xf>
    <xf numFmtId="0" fontId="29" fillId="2" borderId="26" xfId="1" applyFont="1" applyFill="1" applyBorder="1" applyAlignment="1">
      <alignment horizontal="left" vertical="center" wrapText="1"/>
    </xf>
    <xf numFmtId="0" fontId="29" fillId="2" borderId="26" xfId="1" applyFont="1" applyFill="1" applyBorder="1" applyAlignment="1">
      <alignment horizontal="center" vertical="center" wrapText="1"/>
    </xf>
    <xf numFmtId="0" fontId="29" fillId="2" borderId="0" xfId="1" applyFont="1" applyFill="1" applyAlignment="1">
      <alignment horizontal="left" vertical="center" wrapText="1"/>
    </xf>
    <xf numFmtId="0" fontId="27" fillId="0" borderId="0" xfId="1" applyFont="1" applyAlignment="1">
      <alignment horizontal="right"/>
    </xf>
    <xf numFmtId="0" fontId="29" fillId="2" borderId="23" xfId="1" applyFont="1" applyFill="1" applyBorder="1" applyAlignment="1">
      <alignment horizontal="left" vertical="justify" wrapText="1"/>
    </xf>
    <xf numFmtId="0" fontId="29" fillId="2" borderId="0" xfId="1" applyFont="1" applyFill="1" applyAlignment="1">
      <alignment horizontal="left" vertical="justify" wrapText="1"/>
    </xf>
    <xf numFmtId="0" fontId="29" fillId="2" borderId="28" xfId="1" applyFont="1" applyFill="1" applyBorder="1" applyAlignment="1">
      <alignment horizontal="left" vertical="justify" wrapText="1"/>
    </xf>
    <xf numFmtId="0" fontId="27" fillId="2" borderId="23" xfId="1" applyFont="1" applyFill="1" applyBorder="1" applyAlignment="1">
      <alignment horizontal="justify" vertical="center" wrapText="1"/>
    </xf>
    <xf numFmtId="0" fontId="27" fillId="2" borderId="23" xfId="1" applyFont="1" applyFill="1" applyBorder="1" applyAlignment="1">
      <alignment horizontal="center" vertical="center" wrapText="1"/>
    </xf>
    <xf numFmtId="0" fontId="27" fillId="0" borderId="24" xfId="1" applyFont="1" applyBorder="1" applyAlignment="1">
      <alignment horizontal="right"/>
    </xf>
    <xf numFmtId="0" fontId="29" fillId="2" borderId="27" xfId="1" applyFont="1" applyFill="1" applyBorder="1" applyAlignment="1">
      <alignment horizontal="center" vertical="center" wrapText="1"/>
    </xf>
    <xf numFmtId="0" fontId="29" fillId="2" borderId="6" xfId="1" applyFont="1" applyFill="1" applyBorder="1" applyAlignment="1">
      <alignment horizontal="center" vertical="center" wrapText="1"/>
    </xf>
    <xf numFmtId="0" fontId="29" fillId="2" borderId="27" xfId="1" applyFont="1" applyFill="1" applyBorder="1" applyAlignment="1">
      <alignment horizontal="left" vertical="justify" wrapText="1"/>
    </xf>
    <xf numFmtId="0" fontId="29" fillId="2" borderId="26" xfId="1" applyFont="1" applyFill="1" applyBorder="1" applyAlignment="1">
      <alignment horizontal="left" vertical="justify" wrapText="1"/>
    </xf>
    <xf numFmtId="0" fontId="29" fillId="2" borderId="6" xfId="1" applyFont="1" applyFill="1" applyBorder="1" applyAlignment="1">
      <alignment horizontal="left" vertical="justify" wrapText="1"/>
    </xf>
    <xf numFmtId="0" fontId="117" fillId="0" borderId="1" xfId="1" applyFont="1" applyBorder="1" applyAlignment="1">
      <alignment horizontal="left" vertical="center" wrapText="1"/>
    </xf>
    <xf numFmtId="0" fontId="117" fillId="0" borderId="3" xfId="1" applyFont="1" applyBorder="1" applyAlignment="1">
      <alignment horizontal="left" vertical="center" wrapText="1"/>
    </xf>
    <xf numFmtId="0" fontId="117" fillId="0" borderId="29" xfId="1" applyFont="1" applyBorder="1" applyAlignment="1">
      <alignment horizontal="left" vertical="center" wrapText="1"/>
    </xf>
    <xf numFmtId="0" fontId="117" fillId="0" borderId="25" xfId="1" applyFont="1" applyBorder="1" applyAlignment="1">
      <alignment horizontal="left" vertical="center" wrapText="1"/>
    </xf>
    <xf numFmtId="0" fontId="77" fillId="17" borderId="26" xfId="1" applyFont="1" applyFill="1" applyBorder="1" applyAlignment="1">
      <alignment horizontal="center" vertical="center" wrapText="1"/>
    </xf>
    <xf numFmtId="0" fontId="77" fillId="17" borderId="0" xfId="1" applyFont="1" applyFill="1" applyAlignment="1">
      <alignment horizontal="center" vertical="center" wrapText="1"/>
    </xf>
    <xf numFmtId="0" fontId="77" fillId="17" borderId="72" xfId="1" applyFont="1" applyFill="1" applyBorder="1" applyAlignment="1">
      <alignment horizontal="center" vertical="center" wrapText="1"/>
    </xf>
    <xf numFmtId="0" fontId="19" fillId="17" borderId="4" xfId="1" applyFont="1" applyFill="1" applyBorder="1" applyAlignment="1">
      <alignment horizontal="center" vertical="center" wrapText="1"/>
    </xf>
    <xf numFmtId="0" fontId="2" fillId="0" borderId="5" xfId="1" applyBorder="1" applyAlignment="1">
      <alignment horizontal="left" vertical="center" wrapText="1"/>
    </xf>
    <xf numFmtId="0" fontId="77" fillId="17" borderId="5" xfId="1" applyFont="1" applyFill="1" applyBorder="1" applyAlignment="1">
      <alignment horizontal="center" vertical="center" wrapText="1"/>
    </xf>
    <xf numFmtId="0" fontId="77" fillId="17" borderId="73" xfId="1" applyFont="1" applyFill="1" applyBorder="1" applyAlignment="1">
      <alignment horizontal="center" vertical="center"/>
    </xf>
    <xf numFmtId="0" fontId="77" fillId="17" borderId="74" xfId="1" applyFont="1" applyFill="1" applyBorder="1" applyAlignment="1">
      <alignment horizontal="center" vertical="center"/>
    </xf>
    <xf numFmtId="0" fontId="77" fillId="17" borderId="75" xfId="1" applyFont="1" applyFill="1" applyBorder="1" applyAlignment="1">
      <alignment horizontal="center" vertical="center"/>
    </xf>
    <xf numFmtId="0" fontId="2" fillId="0" borderId="23" xfId="1" applyBorder="1" applyAlignment="1">
      <alignment horizontal="left" vertical="center" wrapText="1"/>
    </xf>
    <xf numFmtId="0" fontId="2" fillId="0" borderId="0" xfId="1" applyAlignment="1">
      <alignment horizontal="left" vertical="center" wrapText="1"/>
    </xf>
    <xf numFmtId="0" fontId="119" fillId="16" borderId="0" xfId="1" applyFont="1" applyFill="1" applyAlignment="1">
      <alignment horizontal="left"/>
    </xf>
    <xf numFmtId="0" fontId="29" fillId="2" borderId="27" xfId="1" applyFont="1" applyFill="1" applyBorder="1" applyAlignment="1">
      <alignment horizontal="left" vertical="center" wrapText="1"/>
    </xf>
    <xf numFmtId="0" fontId="29" fillId="2" borderId="29" xfId="1" applyFont="1" applyFill="1" applyBorder="1" applyAlignment="1">
      <alignment horizontal="left" vertical="center" wrapText="1"/>
    </xf>
    <xf numFmtId="0" fontId="29" fillId="2" borderId="24" xfId="1" applyFont="1" applyFill="1" applyBorder="1" applyAlignment="1">
      <alignment horizontal="left" vertical="center" wrapText="1"/>
    </xf>
    <xf numFmtId="0" fontId="29" fillId="2" borderId="25" xfId="1" applyFont="1" applyFill="1" applyBorder="1" applyAlignment="1">
      <alignment horizontal="left" vertical="center" wrapText="1"/>
    </xf>
    <xf numFmtId="0" fontId="27" fillId="2" borderId="23" xfId="1" applyFont="1" applyFill="1" applyBorder="1" applyAlignment="1">
      <alignment vertical="center" wrapText="1"/>
    </xf>
    <xf numFmtId="0" fontId="29" fillId="2" borderId="6" xfId="1" applyFont="1" applyFill="1" applyBorder="1" applyAlignment="1">
      <alignment horizontal="left" vertical="center" wrapText="1"/>
    </xf>
    <xf numFmtId="0" fontId="34" fillId="0" borderId="1" xfId="1" applyFont="1" applyBorder="1" applyAlignment="1">
      <alignment horizontal="left" vertical="center"/>
    </xf>
    <xf numFmtId="0" fontId="34" fillId="0" borderId="2" xfId="1" applyFont="1" applyBorder="1" applyAlignment="1">
      <alignment horizontal="left" vertical="center"/>
    </xf>
    <xf numFmtId="0" fontId="19" fillId="2" borderId="1" xfId="1" applyFont="1" applyFill="1" applyBorder="1" applyAlignment="1">
      <alignment horizontal="center" vertical="center"/>
    </xf>
    <xf numFmtId="0" fontId="19" fillId="2" borderId="3" xfId="1" applyFont="1" applyFill="1" applyBorder="1" applyAlignment="1">
      <alignment horizontal="center" vertical="center"/>
    </xf>
    <xf numFmtId="0" fontId="2" fillId="2" borderId="5" xfId="1" applyFill="1" applyBorder="1" applyAlignment="1">
      <alignment horizontal="center" vertical="center"/>
    </xf>
    <xf numFmtId="0" fontId="27" fillId="2" borderId="23" xfId="21" applyFont="1" applyFill="1" applyBorder="1" applyAlignment="1" applyProtection="1">
      <alignment horizontal="justify" vertical="center" wrapText="1"/>
    </xf>
    <xf numFmtId="0" fontId="27" fillId="2" borderId="0" xfId="21" applyFont="1" applyFill="1" applyBorder="1" applyAlignment="1" applyProtection="1">
      <alignment horizontal="justify" vertical="center" wrapText="1"/>
    </xf>
    <xf numFmtId="0" fontId="27" fillId="2" borderId="28" xfId="21" applyFont="1" applyFill="1" applyBorder="1" applyAlignment="1" applyProtection="1">
      <alignment horizontal="justify" vertical="center" wrapText="1"/>
    </xf>
    <xf numFmtId="0" fontId="29" fillId="2" borderId="23" xfId="1" applyFont="1" applyFill="1" applyBorder="1" applyAlignment="1">
      <alignment horizontal="left" vertical="center" wrapText="1"/>
    </xf>
    <xf numFmtId="0" fontId="2" fillId="12" borderId="7" xfId="1" applyFill="1" applyBorder="1" applyAlignment="1">
      <alignment horizontal="center" vertical="center" textRotation="90" wrapText="1"/>
    </xf>
    <xf numFmtId="0" fontId="2" fillId="12" borderId="8" xfId="1" applyFill="1" applyBorder="1" applyAlignment="1">
      <alignment horizontal="center" vertical="center" textRotation="90" wrapText="1"/>
    </xf>
    <xf numFmtId="0" fontId="2" fillId="12" borderId="4" xfId="1" applyFill="1" applyBorder="1" applyAlignment="1">
      <alignment horizontal="center" vertical="center" textRotation="90" wrapText="1"/>
    </xf>
    <xf numFmtId="0" fontId="31" fillId="2" borderId="0" xfId="1" applyFont="1" applyFill="1" applyAlignment="1">
      <alignment horizontal="right" wrapText="1"/>
    </xf>
    <xf numFmtId="0" fontId="29" fillId="2" borderId="28" xfId="1" applyFont="1" applyFill="1" applyBorder="1" applyAlignment="1">
      <alignment horizontal="left" vertical="center" wrapText="1"/>
    </xf>
    <xf numFmtId="1" fontId="91" fillId="0" borderId="38" xfId="69" applyNumberFormat="1" applyFont="1" applyBorder="1" applyAlignment="1">
      <alignment horizontal="right" vertical="center" shrinkToFit="1"/>
    </xf>
    <xf numFmtId="1" fontId="91" fillId="0" borderId="39" xfId="69" applyNumberFormat="1" applyFont="1" applyBorder="1" applyAlignment="1">
      <alignment horizontal="right" vertical="center" shrinkToFit="1"/>
    </xf>
    <xf numFmtId="0" fontId="83" fillId="0" borderId="47" xfId="69" applyFont="1" applyBorder="1" applyAlignment="1">
      <alignment vertical="center" wrapText="1"/>
    </xf>
    <xf numFmtId="0" fontId="83" fillId="0" borderId="37" xfId="69" applyFont="1" applyBorder="1" applyAlignment="1">
      <alignment vertical="center" wrapText="1"/>
    </xf>
    <xf numFmtId="0" fontId="83" fillId="0" borderId="39" xfId="69" applyFont="1" applyBorder="1" applyAlignment="1">
      <alignment vertical="center" wrapText="1"/>
    </xf>
    <xf numFmtId="1" fontId="94" fillId="0" borderId="38" xfId="69" applyNumberFormat="1" applyFont="1" applyBorder="1" applyAlignment="1">
      <alignment horizontal="center" vertical="center" shrinkToFit="1"/>
    </xf>
    <xf numFmtId="1" fontId="94" fillId="0" borderId="39" xfId="69" applyNumberFormat="1" applyFont="1" applyBorder="1" applyAlignment="1">
      <alignment horizontal="center" vertical="center" shrinkToFit="1"/>
    </xf>
    <xf numFmtId="0" fontId="121" fillId="0" borderId="1" xfId="69" applyFont="1" applyBorder="1" applyAlignment="1">
      <alignment horizontal="center" vertical="center" wrapText="1"/>
    </xf>
    <xf numFmtId="0" fontId="121" fillId="0" borderId="2" xfId="69" applyFont="1" applyBorder="1" applyAlignment="1">
      <alignment horizontal="center" vertical="center" wrapText="1"/>
    </xf>
    <xf numFmtId="0" fontId="121" fillId="0" borderId="3" xfId="69" applyFont="1" applyBorder="1" applyAlignment="1">
      <alignment horizontal="center" vertical="center" wrapText="1"/>
    </xf>
    <xf numFmtId="0" fontId="83" fillId="0" borderId="70" xfId="69" applyFont="1" applyBorder="1" applyAlignment="1">
      <alignment horizontal="left" vertical="center" wrapText="1"/>
    </xf>
    <xf numFmtId="0" fontId="83" fillId="0" borderId="71" xfId="69" applyFont="1" applyBorder="1" applyAlignment="1">
      <alignment horizontal="left" vertical="center" wrapText="1"/>
    </xf>
    <xf numFmtId="0" fontId="88" fillId="0" borderId="0" xfId="69" applyFont="1" applyAlignment="1">
      <alignment horizontal="center" vertical="center" wrapText="1"/>
    </xf>
    <xf numFmtId="0" fontId="3" fillId="14" borderId="5" xfId="1" applyFont="1" applyFill="1" applyBorder="1" applyAlignment="1">
      <alignment horizontal="left" vertical="center" wrapText="1"/>
    </xf>
    <xf numFmtId="0" fontId="45"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right" vertical="center" wrapText="1"/>
    </xf>
    <xf numFmtId="0" fontId="3" fillId="9" borderId="5" xfId="0" applyFont="1" applyFill="1" applyBorder="1" applyAlignment="1">
      <alignment horizontal="center" vertical="center" wrapText="1"/>
    </xf>
    <xf numFmtId="14" fontId="40" fillId="0" borderId="5" xfId="0" applyNumberFormat="1" applyFont="1" applyBorder="1" applyAlignment="1">
      <alignment horizontal="center" vertical="center" wrapText="1"/>
    </xf>
    <xf numFmtId="0" fontId="40" fillId="0" borderId="5" xfId="0" applyFont="1" applyBorder="1" applyAlignment="1">
      <alignment horizontal="center" vertical="center" wrapText="1"/>
    </xf>
    <xf numFmtId="49" fontId="40" fillId="0" borderId="5" xfId="0" applyNumberFormat="1" applyFont="1" applyBorder="1" applyAlignment="1">
      <alignment horizontal="center" vertical="center" wrapText="1"/>
    </xf>
    <xf numFmtId="0" fontId="38" fillId="0" borderId="1" xfId="0" applyFont="1" applyBorder="1" applyAlignment="1">
      <alignment horizontal="left" vertical="center" wrapText="1"/>
    </xf>
    <xf numFmtId="0" fontId="38" fillId="0" borderId="2" xfId="0" applyFont="1" applyBorder="1" applyAlignment="1">
      <alignment horizontal="left" vertical="center" wrapText="1"/>
    </xf>
    <xf numFmtId="0" fontId="38" fillId="0" borderId="3" xfId="0" applyFont="1" applyBorder="1" applyAlignment="1">
      <alignment horizontal="left" vertical="center" wrapText="1"/>
    </xf>
    <xf numFmtId="0" fontId="3" fillId="13" borderId="5" xfId="1" applyFont="1" applyFill="1" applyBorder="1" applyAlignment="1">
      <alignment horizontal="left" vertical="center"/>
    </xf>
    <xf numFmtId="0" fontId="48" fillId="0" borderId="1" xfId="0" applyFont="1" applyBorder="1" applyAlignment="1">
      <alignment horizontal="left" vertical="center" wrapText="1"/>
    </xf>
    <xf numFmtId="0" fontId="48" fillId="0" borderId="2" xfId="0" applyFont="1" applyBorder="1" applyAlignment="1">
      <alignment horizontal="left" vertical="center" wrapText="1"/>
    </xf>
    <xf numFmtId="0" fontId="48" fillId="0" borderId="3" xfId="0" applyFont="1" applyBorder="1" applyAlignment="1">
      <alignment horizontal="left" vertical="center" wrapText="1"/>
    </xf>
    <xf numFmtId="49" fontId="4" fillId="2" borderId="5" xfId="1" applyNumberFormat="1" applyFont="1" applyFill="1" applyBorder="1" applyAlignment="1">
      <alignment horizontal="center"/>
    </xf>
    <xf numFmtId="49" fontId="4" fillId="2" borderId="5" xfId="3" applyNumberFormat="1" applyFont="1" applyFill="1" applyBorder="1" applyAlignment="1">
      <alignment horizontal="center"/>
    </xf>
    <xf numFmtId="167" fontId="4" fillId="2" borderId="5" xfId="1" applyNumberFormat="1" applyFont="1" applyFill="1" applyBorder="1" applyAlignment="1">
      <alignment horizontal="center"/>
    </xf>
    <xf numFmtId="0" fontId="4" fillId="2" borderId="5" xfId="1" applyFont="1" applyFill="1" applyBorder="1" applyAlignment="1">
      <alignment horizontal="center"/>
    </xf>
    <xf numFmtId="14" fontId="4" fillId="2" borderId="5" xfId="1" applyNumberFormat="1" applyFont="1" applyFill="1" applyBorder="1" applyAlignment="1">
      <alignment horizontal="center"/>
    </xf>
    <xf numFmtId="0" fontId="3" fillId="8" borderId="4" xfId="1" applyFont="1" applyFill="1" applyBorder="1" applyAlignment="1">
      <alignment horizontal="left" vertical="center" wrapText="1"/>
    </xf>
    <xf numFmtId="0" fontId="3" fillId="7" borderId="5" xfId="1" applyFont="1" applyFill="1" applyBorder="1" applyAlignment="1">
      <alignment horizontal="center" vertical="center" wrapText="1"/>
    </xf>
    <xf numFmtId="0" fontId="3" fillId="9" borderId="5" xfId="1" applyFont="1" applyFill="1" applyBorder="1" applyAlignment="1">
      <alignment horizontal="center" vertical="center" wrapText="1"/>
    </xf>
    <xf numFmtId="0" fontId="3" fillId="6" borderId="5" xfId="1" applyFont="1" applyFill="1" applyBorder="1" applyAlignment="1">
      <alignment horizontal="left" vertical="center" wrapText="1"/>
    </xf>
    <xf numFmtId="0" fontId="3" fillId="5" borderId="5" xfId="1" applyFont="1" applyFill="1" applyBorder="1" applyAlignment="1">
      <alignment horizontal="left" vertical="center" wrapText="1"/>
    </xf>
    <xf numFmtId="0" fontId="3" fillId="5" borderId="5" xfId="1" applyFont="1" applyFill="1" applyBorder="1" applyAlignment="1">
      <alignment horizontal="center" vertical="center" wrapText="1"/>
    </xf>
    <xf numFmtId="0" fontId="3" fillId="5" borderId="1" xfId="1" applyFont="1" applyFill="1" applyBorder="1" applyAlignment="1">
      <alignment horizontal="center" vertical="center" wrapText="1"/>
    </xf>
    <xf numFmtId="0" fontId="3" fillId="5" borderId="2" xfId="1" applyFont="1" applyFill="1" applyBorder="1" applyAlignment="1">
      <alignment horizontal="center" vertical="center" wrapText="1"/>
    </xf>
    <xf numFmtId="0" fontId="3" fillId="5" borderId="3" xfId="1" applyFont="1" applyFill="1" applyBorder="1" applyAlignment="1">
      <alignment horizontal="center" vertical="center" wrapText="1"/>
    </xf>
    <xf numFmtId="0" fontId="3" fillId="13" borderId="1" xfId="1" applyFont="1" applyFill="1" applyBorder="1" applyAlignment="1">
      <alignment horizontal="center" vertical="center"/>
    </xf>
    <xf numFmtId="0" fontId="3" fillId="13" borderId="2" xfId="1" applyFont="1" applyFill="1" applyBorder="1" applyAlignment="1">
      <alignment horizontal="center" vertical="center"/>
    </xf>
    <xf numFmtId="0" fontId="3" fillId="13" borderId="3" xfId="1" applyFont="1" applyFill="1" applyBorder="1" applyAlignment="1">
      <alignment horizontal="center" vertical="center"/>
    </xf>
    <xf numFmtId="0" fontId="3" fillId="14" borderId="29" xfId="1" applyFont="1" applyFill="1" applyBorder="1" applyAlignment="1">
      <alignment horizontal="center" vertical="center" wrapText="1"/>
    </xf>
    <xf numFmtId="0" fontId="3" fillId="14" borderId="25" xfId="1" applyFont="1" applyFill="1" applyBorder="1" applyAlignment="1">
      <alignment horizontal="center" vertical="center" wrapText="1"/>
    </xf>
    <xf numFmtId="0" fontId="38" fillId="0" borderId="1" xfId="0" applyFont="1" applyBorder="1" applyAlignment="1">
      <alignment horizontal="center" vertical="center" wrapText="1"/>
    </xf>
    <xf numFmtId="0" fontId="38" fillId="0" borderId="2" xfId="0" applyFont="1" applyBorder="1" applyAlignment="1">
      <alignment horizontal="center" vertical="center" wrapText="1"/>
    </xf>
    <xf numFmtId="0" fontId="48" fillId="0" borderId="29" xfId="0" applyFont="1" applyBorder="1" applyAlignment="1">
      <alignment horizontal="center" vertical="center" wrapText="1"/>
    </xf>
    <xf numFmtId="0" fontId="48" fillId="0" borderId="24" xfId="0" applyFont="1" applyBorder="1" applyAlignment="1">
      <alignment horizontal="center" vertical="center" wrapText="1"/>
    </xf>
    <xf numFmtId="0" fontId="3" fillId="10" borderId="1" xfId="1" applyFont="1" applyFill="1" applyBorder="1" applyAlignment="1">
      <alignment horizontal="center" vertical="center" wrapText="1"/>
    </xf>
    <xf numFmtId="0" fontId="3" fillId="10" borderId="2" xfId="1" applyFont="1" applyFill="1" applyBorder="1" applyAlignment="1">
      <alignment horizontal="center" vertical="center" wrapText="1"/>
    </xf>
    <xf numFmtId="0" fontId="3" fillId="10" borderId="3" xfId="1" applyFont="1" applyFill="1" applyBorder="1" applyAlignment="1">
      <alignment horizontal="center" vertical="center" wrapText="1"/>
    </xf>
    <xf numFmtId="0" fontId="48" fillId="0" borderId="23" xfId="0" applyFont="1" applyBorder="1" applyAlignment="1">
      <alignment horizontal="center" vertical="center" wrapText="1"/>
    </xf>
    <xf numFmtId="0" fontId="48" fillId="0" borderId="0" xfId="0" applyFont="1" applyAlignment="1">
      <alignment horizontal="center" vertical="center" wrapText="1"/>
    </xf>
    <xf numFmtId="0" fontId="3" fillId="14" borderId="1" xfId="1" applyFont="1" applyFill="1" applyBorder="1" applyAlignment="1">
      <alignment horizontal="center" vertical="center" wrapText="1"/>
    </xf>
    <xf numFmtId="0" fontId="3" fillId="14" borderId="3" xfId="1" applyFont="1" applyFill="1" applyBorder="1" applyAlignment="1">
      <alignment horizontal="center" vertical="center" wrapText="1"/>
    </xf>
    <xf numFmtId="0" fontId="3" fillId="13" borderId="29" xfId="1" applyFont="1" applyFill="1" applyBorder="1" applyAlignment="1">
      <alignment horizontal="center" vertical="center"/>
    </xf>
    <xf numFmtId="0" fontId="3" fillId="13" borderId="24" xfId="1" applyFont="1" applyFill="1" applyBorder="1" applyAlignment="1">
      <alignment horizontal="center" vertical="center"/>
    </xf>
    <xf numFmtId="0" fontId="3" fillId="8" borderId="29" xfId="1" applyFont="1" applyFill="1" applyBorder="1" applyAlignment="1">
      <alignment horizontal="center" vertical="center" wrapText="1"/>
    </xf>
    <xf numFmtId="0" fontId="3" fillId="8" borderId="24" xfId="1" applyFont="1" applyFill="1" applyBorder="1" applyAlignment="1">
      <alignment horizontal="center" vertical="center" wrapText="1"/>
    </xf>
    <xf numFmtId="0" fontId="3" fillId="13" borderId="23" xfId="1" applyFont="1" applyFill="1" applyBorder="1" applyAlignment="1">
      <alignment horizontal="left" vertical="center"/>
    </xf>
    <xf numFmtId="0" fontId="3" fillId="13" borderId="0" xfId="1" applyFont="1" applyFill="1" applyAlignment="1">
      <alignment horizontal="left" vertical="center"/>
    </xf>
    <xf numFmtId="0" fontId="3" fillId="14" borderId="29" xfId="1" applyFont="1" applyFill="1" applyBorder="1" applyAlignment="1">
      <alignment horizontal="left" vertical="center" wrapText="1"/>
    </xf>
    <xf numFmtId="0" fontId="3" fillId="14" borderId="24" xfId="1" applyFont="1" applyFill="1" applyBorder="1" applyAlignment="1">
      <alignment horizontal="left" vertical="center" wrapText="1"/>
    </xf>
    <xf numFmtId="0" fontId="3" fillId="8" borderId="1" xfId="1" applyFont="1" applyFill="1" applyBorder="1" applyAlignment="1">
      <alignment horizontal="left" vertical="center" wrapText="1"/>
    </xf>
    <xf numFmtId="0" fontId="3" fillId="8" borderId="2" xfId="1" applyFont="1" applyFill="1" applyBorder="1" applyAlignment="1">
      <alignment horizontal="left" vertical="center" wrapText="1"/>
    </xf>
    <xf numFmtId="0" fontId="3" fillId="8" borderId="3" xfId="1" applyFont="1" applyFill="1" applyBorder="1" applyAlignment="1">
      <alignment horizontal="left" vertical="center" wrapText="1"/>
    </xf>
    <xf numFmtId="0" fontId="48" fillId="0" borderId="1" xfId="0" applyFont="1" applyBorder="1" applyAlignment="1">
      <alignment horizontal="center" vertical="center" wrapText="1"/>
    </xf>
    <xf numFmtId="0" fontId="48" fillId="0" borderId="2" xfId="0" applyFont="1" applyBorder="1" applyAlignment="1">
      <alignment horizontal="center" vertical="center" wrapText="1"/>
    </xf>
    <xf numFmtId="0" fontId="83" fillId="0" borderId="1" xfId="69" applyFont="1" applyBorder="1" applyAlignment="1">
      <alignment horizontal="center" vertical="center" wrapText="1"/>
    </xf>
    <xf numFmtId="0" fontId="83" fillId="0" borderId="2" xfId="69" applyFont="1" applyBorder="1" applyAlignment="1">
      <alignment horizontal="center" vertical="center" wrapText="1"/>
    </xf>
    <xf numFmtId="0" fontId="83" fillId="0" borderId="3" xfId="69" applyFont="1" applyBorder="1" applyAlignment="1">
      <alignment horizontal="center" vertical="center" wrapText="1"/>
    </xf>
    <xf numFmtId="0" fontId="83" fillId="0" borderId="5" xfId="69" applyFont="1" applyBorder="1" applyAlignment="1">
      <alignment horizontal="center" vertical="center" wrapText="1"/>
    </xf>
    <xf numFmtId="1" fontId="94" fillId="0" borderId="5" xfId="69" applyNumberFormat="1" applyFont="1" applyBorder="1" applyAlignment="1">
      <alignment horizontal="center" vertical="center" shrinkToFit="1"/>
    </xf>
    <xf numFmtId="0" fontId="83" fillId="0" borderId="5" xfId="69" applyFont="1" applyBorder="1" applyAlignment="1">
      <alignment horizontal="left" vertical="center" wrapText="1"/>
    </xf>
    <xf numFmtId="1" fontId="91" fillId="0" borderId="5" xfId="69" applyNumberFormat="1" applyFont="1" applyBorder="1" applyAlignment="1">
      <alignment horizontal="right" vertical="center" shrinkToFit="1"/>
    </xf>
    <xf numFmtId="0" fontId="88" fillId="0" borderId="2" xfId="69" applyFont="1" applyBorder="1" applyAlignment="1">
      <alignment horizontal="center" vertical="center" wrapText="1"/>
    </xf>
    <xf numFmtId="0" fontId="88" fillId="0" borderId="3" xfId="69" applyFont="1" applyBorder="1" applyAlignment="1">
      <alignment horizontal="center" vertical="center" wrapText="1"/>
    </xf>
    <xf numFmtId="1" fontId="91" fillId="0" borderId="38" xfId="69" applyNumberFormat="1" applyFont="1" applyBorder="1" applyAlignment="1">
      <alignment horizontal="center" vertical="center" shrinkToFit="1"/>
    </xf>
    <xf numFmtId="1" fontId="91" fillId="0" borderId="39" xfId="69" applyNumberFormat="1" applyFont="1" applyBorder="1" applyAlignment="1">
      <alignment horizontal="center" vertical="center" shrinkToFit="1"/>
    </xf>
    <xf numFmtId="0" fontId="7" fillId="0" borderId="5" xfId="0" applyFont="1" applyBorder="1" applyAlignment="1">
      <alignment horizontal="center"/>
    </xf>
    <xf numFmtId="171" fontId="7" fillId="0" borderId="1" xfId="0" applyNumberFormat="1" applyFont="1" applyBorder="1" applyAlignment="1">
      <alignment horizontal="center"/>
    </xf>
    <xf numFmtId="171" fontId="7" fillId="0" borderId="2" xfId="0" applyNumberFormat="1" applyFont="1" applyBorder="1" applyAlignment="1">
      <alignment horizontal="center"/>
    </xf>
    <xf numFmtId="171" fontId="7" fillId="0" borderId="3" xfId="0" applyNumberFormat="1" applyFont="1" applyBorder="1" applyAlignment="1">
      <alignment horizontal="center"/>
    </xf>
    <xf numFmtId="171" fontId="7" fillId="0" borderId="54" xfId="0" applyNumberFormat="1" applyFont="1" applyBorder="1" applyAlignment="1">
      <alignment horizontal="center" vertical="center" wrapText="1"/>
    </xf>
    <xf numFmtId="171" fontId="7" fillId="0" borderId="55" xfId="0" applyNumberFormat="1" applyFont="1" applyBorder="1" applyAlignment="1">
      <alignment horizontal="center" vertical="center" wrapText="1"/>
    </xf>
    <xf numFmtId="171" fontId="7" fillId="0" borderId="56" xfId="0" applyNumberFormat="1" applyFont="1" applyBorder="1" applyAlignment="1">
      <alignment horizontal="center" vertical="center" wrapText="1"/>
    </xf>
    <xf numFmtId="171" fontId="7" fillId="0" borderId="57" xfId="0" applyNumberFormat="1" applyFont="1" applyBorder="1" applyAlignment="1">
      <alignment horizontal="center" vertical="center" wrapText="1"/>
    </xf>
    <xf numFmtId="171" fontId="7" fillId="0" borderId="2" xfId="0" applyNumberFormat="1" applyFont="1" applyBorder="1" applyAlignment="1">
      <alignment horizontal="center" vertical="center" wrapText="1"/>
    </xf>
    <xf numFmtId="171" fontId="7" fillId="0" borderId="58" xfId="0" applyNumberFormat="1" applyFont="1" applyBorder="1" applyAlignment="1">
      <alignment horizontal="center" vertical="center" wrapText="1"/>
    </xf>
    <xf numFmtId="0" fontId="8" fillId="0" borderId="65" xfId="0" applyFont="1" applyBorder="1" applyAlignment="1">
      <alignment horizontal="left" vertical="center"/>
    </xf>
    <xf numFmtId="0" fontId="8" fillId="0" borderId="66" xfId="0" applyFont="1" applyBorder="1" applyAlignment="1">
      <alignment horizontal="left" vertical="center"/>
    </xf>
    <xf numFmtId="0" fontId="8" fillId="0" borderId="67" xfId="0" applyFont="1" applyBorder="1" applyAlignment="1">
      <alignment horizontal="left" vertical="center"/>
    </xf>
    <xf numFmtId="171" fontId="7" fillId="0" borderId="61" xfId="0" applyNumberFormat="1" applyFont="1" applyBorder="1" applyAlignment="1">
      <alignment horizontal="center" vertical="center" textRotation="90" wrapText="1"/>
    </xf>
    <xf numFmtId="171" fontId="7" fillId="0" borderId="62" xfId="0" applyNumberFormat="1" applyFont="1" applyBorder="1" applyAlignment="1">
      <alignment horizontal="center" vertical="center" textRotation="90"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7" fillId="0" borderId="5" xfId="69" applyFont="1" applyBorder="1" applyAlignment="1">
      <alignment horizontal="center" vertical="center"/>
    </xf>
    <xf numFmtId="0" fontId="88" fillId="0" borderId="5" xfId="69" applyFont="1" applyBorder="1" applyAlignment="1">
      <alignment horizontal="justify" vertical="top" wrapText="1"/>
    </xf>
    <xf numFmtId="0" fontId="83" fillId="0" borderId="38" xfId="0" applyFont="1" applyBorder="1" applyAlignment="1">
      <alignment horizontal="center" vertical="top" wrapText="1"/>
    </xf>
    <xf numFmtId="0" fontId="83" fillId="0" borderId="37" xfId="0" applyFont="1" applyBorder="1" applyAlignment="1">
      <alignment horizontal="center" vertical="top" wrapText="1"/>
    </xf>
    <xf numFmtId="0" fontId="83" fillId="0" borderId="39" xfId="0" applyFont="1" applyBorder="1" applyAlignment="1">
      <alignment horizontal="center" vertical="top" wrapText="1"/>
    </xf>
    <xf numFmtId="0" fontId="83" fillId="0" borderId="42" xfId="0" applyFont="1" applyBorder="1" applyAlignment="1">
      <alignment horizontal="center" vertical="top" wrapText="1"/>
    </xf>
    <xf numFmtId="0" fontId="83" fillId="0" borderId="43" xfId="0" applyFont="1" applyBorder="1" applyAlignment="1">
      <alignment horizontal="center" vertical="top" wrapText="1"/>
    </xf>
    <xf numFmtId="0" fontId="83" fillId="0" borderId="44" xfId="0" applyFont="1" applyBorder="1" applyAlignment="1">
      <alignment horizontal="center" vertical="top" wrapText="1"/>
    </xf>
    <xf numFmtId="0" fontId="83" fillId="0" borderId="45" xfId="69" applyFont="1" applyBorder="1" applyAlignment="1">
      <alignment horizontal="center" vertical="center" wrapText="1"/>
    </xf>
    <xf numFmtId="0" fontId="89" fillId="0" borderId="45" xfId="69" applyFont="1" applyBorder="1" applyAlignment="1">
      <alignment horizontal="center" vertical="center" wrapText="1"/>
    </xf>
    <xf numFmtId="0" fontId="83" fillId="0" borderId="40" xfId="0" applyFont="1" applyBorder="1" applyAlignment="1">
      <alignment horizontal="left" vertical="center" wrapText="1" indent="1"/>
    </xf>
    <xf numFmtId="0" fontId="83" fillId="0" borderId="41" xfId="0" applyFont="1" applyBorder="1" applyAlignment="1">
      <alignment horizontal="left" vertical="center" wrapText="1" indent="1"/>
    </xf>
    <xf numFmtId="0" fontId="89" fillId="0" borderId="38" xfId="0" applyFont="1" applyBorder="1" applyAlignment="1">
      <alignment horizontal="left" vertical="top" wrapText="1"/>
    </xf>
    <xf numFmtId="0" fontId="89" fillId="0" borderId="37" xfId="0" applyFont="1" applyBorder="1" applyAlignment="1">
      <alignment horizontal="left" vertical="top" wrapText="1"/>
    </xf>
    <xf numFmtId="0" fontId="89" fillId="0" borderId="39" xfId="0" applyFont="1" applyBorder="1" applyAlignment="1">
      <alignment horizontal="left" vertical="top" wrapText="1"/>
    </xf>
    <xf numFmtId="0" fontId="83" fillId="0" borderId="40" xfId="0" applyFont="1" applyBorder="1" applyAlignment="1">
      <alignment horizontal="center" vertical="top" wrapText="1"/>
    </xf>
    <xf numFmtId="0" fontId="83" fillId="0" borderId="41" xfId="0" applyFont="1" applyBorder="1" applyAlignment="1">
      <alignment horizontal="center" vertical="top" wrapText="1"/>
    </xf>
    <xf numFmtId="0" fontId="89" fillId="0" borderId="38" xfId="0" applyFont="1" applyBorder="1" applyAlignment="1">
      <alignment horizontal="right" vertical="top" wrapText="1" indent="1"/>
    </xf>
    <xf numFmtId="0" fontId="89" fillId="0" borderId="37" xfId="0" applyFont="1" applyBorder="1" applyAlignment="1">
      <alignment horizontal="right" vertical="top" wrapText="1" indent="1"/>
    </xf>
    <xf numFmtId="0" fontId="89" fillId="0" borderId="39" xfId="0" applyFont="1" applyBorder="1" applyAlignment="1">
      <alignment horizontal="right" vertical="top" wrapText="1" indent="1"/>
    </xf>
    <xf numFmtId="0" fontId="83" fillId="0" borderId="38" xfId="69" applyFont="1" applyBorder="1" applyAlignment="1">
      <alignment horizontal="center" vertical="center" wrapText="1"/>
    </xf>
    <xf numFmtId="0" fontId="83" fillId="0" borderId="37" xfId="69" applyFont="1" applyBorder="1" applyAlignment="1">
      <alignment horizontal="center" vertical="center" wrapText="1"/>
    </xf>
    <xf numFmtId="0" fontId="83" fillId="0" borderId="36" xfId="69" applyFont="1" applyBorder="1" applyAlignment="1">
      <alignment horizontal="center" vertical="center" wrapText="1"/>
    </xf>
    <xf numFmtId="0" fontId="83" fillId="0" borderId="31" xfId="69" applyFont="1" applyBorder="1" applyAlignment="1">
      <alignment horizontal="center" vertical="center" wrapText="1"/>
    </xf>
    <xf numFmtId="0" fontId="83" fillId="0" borderId="30" xfId="69" applyFont="1" applyBorder="1" applyAlignment="1">
      <alignment horizontal="center" vertical="center" wrapText="1"/>
    </xf>
    <xf numFmtId="0" fontId="1" fillId="0" borderId="29" xfId="0" applyFont="1" applyBorder="1" applyAlignment="1">
      <alignment horizontal="center" vertical="top" wrapText="1"/>
    </xf>
    <xf numFmtId="0" fontId="1" fillId="0" borderId="24" xfId="0" applyFont="1" applyBorder="1" applyAlignment="1">
      <alignment horizontal="center" vertical="top" wrapText="1"/>
    </xf>
    <xf numFmtId="0" fontId="1" fillId="0" borderId="25" xfId="0" applyFont="1" applyBorder="1" applyAlignment="1">
      <alignment horizontal="center" vertical="top" wrapText="1"/>
    </xf>
    <xf numFmtId="0" fontId="73" fillId="0" borderId="27" xfId="0" applyFont="1" applyBorder="1" applyAlignment="1">
      <alignment horizontal="justify" vertical="justify" wrapText="1"/>
    </xf>
    <xf numFmtId="0" fontId="73" fillId="0" borderId="26" xfId="0" applyFont="1" applyBorder="1" applyAlignment="1">
      <alignment horizontal="justify" vertical="justify" wrapText="1"/>
    </xf>
    <xf numFmtId="0" fontId="73" fillId="0" borderId="6" xfId="0" applyFont="1" applyBorder="1" applyAlignment="1">
      <alignment horizontal="justify" vertical="justify" wrapText="1"/>
    </xf>
    <xf numFmtId="0" fontId="73" fillId="0" borderId="23" xfId="0" applyFont="1" applyBorder="1" applyAlignment="1">
      <alignment horizontal="justify" vertical="justify" wrapText="1"/>
    </xf>
    <xf numFmtId="0" fontId="73" fillId="0" borderId="0" xfId="0" applyFont="1" applyAlignment="1">
      <alignment horizontal="justify" vertical="justify" wrapText="1"/>
    </xf>
    <xf numFmtId="0" fontId="73" fillId="0" borderId="28" xfId="0" applyFont="1" applyBorder="1" applyAlignment="1">
      <alignment horizontal="justify" vertical="justify" wrapText="1"/>
    </xf>
    <xf numFmtId="0" fontId="73" fillId="0" borderId="29" xfId="0" applyFont="1" applyBorder="1" applyAlignment="1">
      <alignment horizontal="justify" vertical="justify" wrapText="1"/>
    </xf>
    <xf numFmtId="0" fontId="73" fillId="0" borderId="24" xfId="0" applyFont="1" applyBorder="1" applyAlignment="1">
      <alignment horizontal="justify" vertical="justify" wrapText="1"/>
    </xf>
    <xf numFmtId="0" fontId="73" fillId="0" borderId="25" xfId="0" applyFont="1" applyBorder="1" applyAlignment="1">
      <alignment horizontal="justify" vertical="justify" wrapText="1"/>
    </xf>
    <xf numFmtId="0" fontId="73" fillId="0" borderId="27" xfId="0" applyFont="1" applyBorder="1" applyAlignment="1">
      <alignment horizontal="justify" vertical="center" wrapText="1"/>
    </xf>
    <xf numFmtId="0" fontId="73" fillId="0" borderId="26" xfId="0" applyFont="1" applyBorder="1" applyAlignment="1">
      <alignment horizontal="justify" vertical="center" wrapText="1"/>
    </xf>
    <xf numFmtId="0" fontId="73" fillId="0" borderId="6" xfId="0" applyFont="1" applyBorder="1" applyAlignment="1">
      <alignment horizontal="justify" vertical="center" wrapText="1"/>
    </xf>
    <xf numFmtId="0" fontId="73" fillId="0" borderId="23" xfId="0" applyFont="1" applyBorder="1" applyAlignment="1">
      <alignment horizontal="justify" vertical="center" wrapText="1"/>
    </xf>
    <xf numFmtId="0" fontId="73" fillId="0" borderId="0" xfId="0" applyFont="1" applyAlignment="1">
      <alignment horizontal="justify" vertical="center" wrapText="1"/>
    </xf>
    <xf numFmtId="0" fontId="73" fillId="0" borderId="28" xfId="0" applyFont="1" applyBorder="1" applyAlignment="1">
      <alignment horizontal="justify" vertical="center" wrapText="1"/>
    </xf>
    <xf numFmtId="0" fontId="73" fillId="0" borderId="29" xfId="0" applyFont="1" applyBorder="1" applyAlignment="1">
      <alignment horizontal="justify" vertical="center" wrapText="1"/>
    </xf>
    <xf numFmtId="0" fontId="73" fillId="0" borderId="24" xfId="0" applyFont="1" applyBorder="1" applyAlignment="1">
      <alignment horizontal="justify" vertical="center" wrapText="1"/>
    </xf>
    <xf numFmtId="0" fontId="73" fillId="0" borderId="25" xfId="0" applyFont="1" applyBorder="1" applyAlignment="1">
      <alignment horizontal="justify" vertical="center" wrapText="1"/>
    </xf>
    <xf numFmtId="0" fontId="1" fillId="0" borderId="48" xfId="0" applyFont="1" applyBorder="1" applyAlignment="1">
      <alignment horizontal="center" vertical="top" wrapText="1"/>
    </xf>
    <xf numFmtId="0" fontId="1" fillId="0" borderId="0" xfId="0" applyFont="1" applyAlignment="1">
      <alignment horizontal="center" vertical="top" wrapText="1"/>
    </xf>
    <xf numFmtId="0" fontId="89" fillId="0" borderId="5" xfId="69" applyFont="1" applyBorder="1" applyAlignment="1">
      <alignment horizontal="justify" vertical="justify" wrapText="1"/>
    </xf>
    <xf numFmtId="172" fontId="103" fillId="0" borderId="5" xfId="66" applyNumberFormat="1" applyFont="1" applyBorder="1" applyAlignment="1">
      <alignment horizontal="center" vertical="center"/>
    </xf>
    <xf numFmtId="172" fontId="84" fillId="0" borderId="5" xfId="66" applyNumberFormat="1" applyFont="1" applyBorder="1" applyAlignment="1">
      <alignment horizontal="center" vertical="center"/>
    </xf>
    <xf numFmtId="0" fontId="51" fillId="0" borderId="1"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3" xfId="0" applyFont="1" applyBorder="1" applyAlignment="1">
      <alignment horizontal="center" vertical="center" wrapText="1"/>
    </xf>
    <xf numFmtId="0" fontId="83" fillId="0" borderId="27" xfId="0" applyFont="1" applyBorder="1" applyAlignment="1">
      <alignment horizontal="left" vertical="center" wrapText="1"/>
    </xf>
    <xf numFmtId="0" fontId="83" fillId="0" borderId="26" xfId="0" applyFont="1" applyBorder="1" applyAlignment="1">
      <alignment horizontal="left" vertical="center" wrapText="1"/>
    </xf>
    <xf numFmtId="0" fontId="83" fillId="0" borderId="6" xfId="0" applyFont="1" applyBorder="1" applyAlignment="1">
      <alignment horizontal="left" vertical="center" wrapText="1"/>
    </xf>
    <xf numFmtId="0" fontId="83" fillId="0" borderId="0" xfId="0" applyFont="1" applyAlignment="1">
      <alignment horizontal="center" vertical="top" wrapText="1"/>
    </xf>
    <xf numFmtId="0" fontId="83" fillId="0" borderId="27" xfId="0" applyFont="1" applyBorder="1" applyAlignment="1">
      <alignment horizontal="left" vertical="top" wrapText="1"/>
    </xf>
    <xf numFmtId="0" fontId="83" fillId="0" borderId="26" xfId="0" applyFont="1" applyBorder="1" applyAlignment="1">
      <alignment horizontal="left" vertical="top" wrapText="1"/>
    </xf>
    <xf numFmtId="0" fontId="83" fillId="0" borderId="6" xfId="0" applyFont="1" applyBorder="1" applyAlignment="1">
      <alignment horizontal="left" vertical="top" wrapText="1"/>
    </xf>
    <xf numFmtId="0" fontId="86" fillId="0" borderId="5" xfId="0" applyFont="1" applyBorder="1" applyAlignment="1">
      <alignment horizontal="center" vertical="center" wrapText="1"/>
    </xf>
    <xf numFmtId="171" fontId="99" fillId="0" borderId="5" xfId="0" applyNumberFormat="1" applyFont="1" applyBorder="1" applyAlignment="1">
      <alignment horizontal="center" vertical="center" wrapText="1"/>
    </xf>
    <xf numFmtId="171" fontId="111" fillId="0" borderId="5" xfId="0" applyNumberFormat="1" applyFont="1" applyBorder="1" applyAlignment="1">
      <alignment horizontal="justify" vertical="justify" wrapText="1"/>
    </xf>
    <xf numFmtId="171" fontId="84" fillId="0" borderId="5" xfId="0" applyNumberFormat="1" applyFont="1" applyBorder="1" applyAlignment="1">
      <alignment horizontal="center" vertical="center" wrapText="1"/>
    </xf>
    <xf numFmtId="0" fontId="1" fillId="2" borderId="27" xfId="0" applyFont="1" applyFill="1" applyBorder="1" applyAlignment="1">
      <alignment horizontal="center" vertical="top"/>
    </xf>
    <xf numFmtId="0" fontId="1" fillId="2" borderId="26" xfId="0" applyFont="1" applyFill="1" applyBorder="1" applyAlignment="1">
      <alignment horizontal="center" vertical="top"/>
    </xf>
    <xf numFmtId="0" fontId="1" fillId="2" borderId="6" xfId="0" applyFont="1" applyFill="1" applyBorder="1" applyAlignment="1">
      <alignment horizontal="center" vertical="top"/>
    </xf>
    <xf numFmtId="0" fontId="88" fillId="0" borderId="5" xfId="69" applyFont="1" applyBorder="1" applyAlignment="1">
      <alignment horizontal="justify" vertical="justify" wrapText="1"/>
    </xf>
    <xf numFmtId="0" fontId="1" fillId="0" borderId="5" xfId="0" applyFont="1" applyBorder="1" applyAlignment="1">
      <alignment horizontal="center" vertical="top" wrapText="1"/>
    </xf>
    <xf numFmtId="0" fontId="83" fillId="0" borderId="5" xfId="0" applyFont="1" applyBorder="1" applyAlignment="1">
      <alignment horizontal="center" vertical="top" wrapText="1"/>
    </xf>
    <xf numFmtId="0" fontId="96" fillId="2" borderId="5" xfId="0" applyFont="1" applyFill="1" applyBorder="1" applyAlignment="1">
      <alignment horizontal="justify" vertical="justify" wrapText="1"/>
    </xf>
    <xf numFmtId="0" fontId="96" fillId="2" borderId="5" xfId="0" applyFont="1" applyFill="1" applyBorder="1" applyAlignment="1">
      <alignment horizontal="justify" vertical="center" wrapText="1"/>
    </xf>
    <xf numFmtId="0" fontId="1" fillId="0" borderId="5" xfId="0" applyFont="1" applyBorder="1" applyAlignment="1">
      <alignment horizontal="center" vertical="center" wrapText="1"/>
    </xf>
    <xf numFmtId="0" fontId="84" fillId="0" borderId="5" xfId="0" applyFont="1" applyBorder="1" applyAlignment="1">
      <alignment horizontal="center" vertical="center" wrapText="1"/>
    </xf>
    <xf numFmtId="171" fontId="103" fillId="0" borderId="5" xfId="0" applyNumberFormat="1" applyFont="1" applyBorder="1" applyAlignment="1">
      <alignment horizontal="center" vertical="center"/>
    </xf>
    <xf numFmtId="171" fontId="84" fillId="0" borderId="4" xfId="0" applyNumberFormat="1" applyFont="1" applyBorder="1" applyAlignment="1">
      <alignment horizontal="center" vertical="center" wrapText="1"/>
    </xf>
    <xf numFmtId="172" fontId="103" fillId="15" borderId="5" xfId="66" applyNumberFormat="1" applyFont="1" applyFill="1" applyBorder="1" applyAlignment="1">
      <alignment horizontal="center" vertical="center"/>
    </xf>
    <xf numFmtId="0" fontId="85" fillId="0" borderId="1" xfId="0" applyFont="1" applyBorder="1" applyAlignment="1">
      <alignment horizontal="left" vertical="center"/>
    </xf>
    <xf numFmtId="0" fontId="85" fillId="0" borderId="2" xfId="0" applyFont="1" applyBorder="1" applyAlignment="1">
      <alignment horizontal="left" vertical="center"/>
    </xf>
    <xf numFmtId="0" fontId="85" fillId="0" borderId="3" xfId="0" applyFont="1" applyBorder="1" applyAlignment="1">
      <alignment horizontal="left" vertical="center"/>
    </xf>
    <xf numFmtId="0" fontId="112" fillId="0" borderId="5" xfId="0" applyFont="1" applyBorder="1" applyAlignment="1">
      <alignment horizontal="justify" vertical="center" wrapText="1"/>
    </xf>
    <xf numFmtId="0" fontId="112" fillId="0" borderId="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0" xfId="0" applyFont="1" applyAlignment="1">
      <alignment horizontal="center" vertical="center" wrapText="1"/>
    </xf>
    <xf numFmtId="0" fontId="33" fillId="0" borderId="0" xfId="0" applyFont="1" applyAlignment="1">
      <alignment horizontal="left" vertical="center" wrapText="1"/>
    </xf>
    <xf numFmtId="0" fontId="99" fillId="0" borderId="23" xfId="0" applyFont="1" applyBorder="1" applyAlignment="1">
      <alignment horizontal="center"/>
    </xf>
    <xf numFmtId="0" fontId="99" fillId="0" borderId="0" xfId="0" applyFont="1" applyAlignment="1">
      <alignment horizontal="center"/>
    </xf>
    <xf numFmtId="0" fontId="86" fillId="0" borderId="23" xfId="0" applyFont="1" applyBorder="1" applyAlignment="1">
      <alignment horizontal="left" vertical="center" wrapText="1"/>
    </xf>
    <xf numFmtId="0" fontId="86" fillId="0" borderId="0" xfId="0" applyFont="1" applyAlignment="1">
      <alignment horizontal="left" vertical="center" wrapText="1"/>
    </xf>
    <xf numFmtId="171" fontId="99" fillId="0" borderId="23" xfId="0" applyNumberFormat="1" applyFont="1" applyBorder="1" applyAlignment="1">
      <alignment horizontal="center" vertical="center" wrapText="1"/>
    </xf>
    <xf numFmtId="171" fontId="99" fillId="0" borderId="0" xfId="0" applyNumberFormat="1" applyFont="1" applyAlignment="1">
      <alignment horizontal="center" vertical="center" wrapText="1"/>
    </xf>
    <xf numFmtId="0" fontId="99" fillId="0" borderId="5" xfId="0" applyFont="1" applyBorder="1" applyAlignment="1">
      <alignment horizontal="center" vertical="center"/>
    </xf>
    <xf numFmtId="0" fontId="101" fillId="2" borderId="5" xfId="0" applyFont="1" applyFill="1" applyBorder="1" applyAlignment="1">
      <alignment horizontal="center" vertical="center" wrapText="1"/>
    </xf>
    <xf numFmtId="0" fontId="89" fillId="0" borderId="23" xfId="0" applyFont="1" applyBorder="1" applyAlignment="1">
      <alignment horizontal="center" vertical="top" wrapText="1"/>
    </xf>
    <xf numFmtId="0" fontId="89" fillId="0" borderId="0" xfId="0" applyFont="1" applyAlignment="1">
      <alignment horizontal="center" vertical="top" wrapText="1"/>
    </xf>
    <xf numFmtId="0" fontId="96" fillId="0" borderId="23" xfId="0" applyFont="1" applyBorder="1" applyAlignment="1">
      <alignment horizontal="center" vertical="top" wrapText="1"/>
    </xf>
    <xf numFmtId="0" fontId="96" fillId="0" borderId="0" xfId="0" applyFont="1" applyAlignment="1">
      <alignment horizontal="center" vertical="top" wrapText="1"/>
    </xf>
    <xf numFmtId="0" fontId="1" fillId="0" borderId="26" xfId="0" applyFont="1" applyBorder="1" applyAlignment="1">
      <alignment horizontal="center" vertical="top" wrapText="1"/>
    </xf>
    <xf numFmtId="172" fontId="84" fillId="0" borderId="5" xfId="0" applyNumberFormat="1" applyFont="1" applyBorder="1" applyAlignment="1">
      <alignment horizontal="center" vertical="center"/>
    </xf>
    <xf numFmtId="1" fontId="84" fillId="0" borderId="5" xfId="0" applyNumberFormat="1" applyFont="1" applyBorder="1" applyAlignment="1">
      <alignment horizontal="center" vertical="center"/>
    </xf>
    <xf numFmtId="0" fontId="84" fillId="0" borderId="1" xfId="0" applyFont="1" applyBorder="1" applyAlignment="1">
      <alignment horizontal="left" vertical="center"/>
    </xf>
    <xf numFmtId="0" fontId="84" fillId="0" borderId="2" xfId="0" applyFont="1" applyBorder="1" applyAlignment="1">
      <alignment horizontal="left" vertical="center"/>
    </xf>
    <xf numFmtId="0" fontId="84" fillId="0" borderId="3" xfId="0" applyFont="1" applyBorder="1" applyAlignment="1">
      <alignment horizontal="left" vertical="center"/>
    </xf>
    <xf numFmtId="0" fontId="82" fillId="0" borderId="4" xfId="0" applyFont="1" applyBorder="1" applyAlignment="1">
      <alignment horizontal="center" vertical="center"/>
    </xf>
    <xf numFmtId="172" fontId="100" fillId="0" borderId="5" xfId="0" applyNumberFormat="1" applyFont="1" applyBorder="1" applyAlignment="1">
      <alignment horizontal="right" vertical="center"/>
    </xf>
    <xf numFmtId="1" fontId="85" fillId="0" borderId="5" xfId="0" applyNumberFormat="1" applyFont="1" applyBorder="1" applyAlignment="1">
      <alignment horizontal="center" vertical="center"/>
    </xf>
    <xf numFmtId="0" fontId="88" fillId="0" borderId="0" xfId="69" applyFont="1" applyAlignment="1">
      <alignment horizontal="center" vertical="center"/>
    </xf>
    <xf numFmtId="0" fontId="112" fillId="0" borderId="5" xfId="0" applyFont="1" applyBorder="1" applyAlignment="1">
      <alignment horizontal="justify" wrapText="1"/>
    </xf>
    <xf numFmtId="0" fontId="1" fillId="2" borderId="26" xfId="0" applyFont="1" applyFill="1" applyBorder="1" applyAlignment="1">
      <alignment horizontal="center" vertical="center" wrapText="1"/>
    </xf>
    <xf numFmtId="172" fontId="99" fillId="2" borderId="1" xfId="66" applyNumberFormat="1" applyFont="1" applyFill="1" applyBorder="1" applyAlignment="1">
      <alignment horizontal="center" vertical="center"/>
    </xf>
    <xf numFmtId="172" fontId="99" fillId="2" borderId="2" xfId="66" applyNumberFormat="1" applyFont="1" applyFill="1" applyBorder="1" applyAlignment="1">
      <alignment horizontal="center" vertical="center"/>
    </xf>
    <xf numFmtId="172" fontId="99" fillId="2" borderId="3" xfId="66" applyNumberFormat="1" applyFont="1" applyFill="1" applyBorder="1" applyAlignment="1">
      <alignment horizontal="center" vertical="center"/>
    </xf>
    <xf numFmtId="172" fontId="99" fillId="2" borderId="29" xfId="66" applyNumberFormat="1" applyFont="1" applyFill="1" applyBorder="1" applyAlignment="1">
      <alignment horizontal="center"/>
    </xf>
    <xf numFmtId="172" fontId="99" fillId="2" borderId="24" xfId="66" applyNumberFormat="1" applyFont="1" applyFill="1" applyBorder="1" applyAlignment="1">
      <alignment horizontal="center"/>
    </xf>
    <xf numFmtId="172" fontId="99" fillId="2" borderId="25" xfId="66" applyNumberFormat="1" applyFont="1" applyFill="1" applyBorder="1" applyAlignment="1">
      <alignment horizontal="center"/>
    </xf>
    <xf numFmtId="171" fontId="99" fillId="2" borderId="1" xfId="0" applyNumberFormat="1" applyFont="1" applyFill="1" applyBorder="1" applyAlignment="1">
      <alignment horizontal="center"/>
    </xf>
    <xf numFmtId="171" fontId="99" fillId="2" borderId="2" xfId="0" applyNumberFormat="1" applyFont="1" applyFill="1" applyBorder="1" applyAlignment="1">
      <alignment horizontal="center"/>
    </xf>
    <xf numFmtId="171" fontId="99" fillId="2" borderId="3" xfId="0" applyNumberFormat="1" applyFont="1" applyFill="1" applyBorder="1" applyAlignment="1">
      <alignment horizontal="center"/>
    </xf>
    <xf numFmtId="0" fontId="96" fillId="0" borderId="23" xfId="0" applyFont="1" applyBorder="1" applyAlignment="1">
      <alignment horizontal="justify" vertical="justify" wrapText="1"/>
    </xf>
    <xf numFmtId="0" fontId="96" fillId="0" borderId="0" xfId="0" applyFont="1" applyAlignment="1">
      <alignment horizontal="justify" vertical="justify" wrapText="1"/>
    </xf>
    <xf numFmtId="0" fontId="96" fillId="2" borderId="1"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1" fillId="2" borderId="3" xfId="0" applyFont="1" applyFill="1" applyBorder="1" applyAlignment="1">
      <alignment horizontal="justify" vertical="center" wrapText="1"/>
    </xf>
    <xf numFmtId="0" fontId="99" fillId="0" borderId="1" xfId="0" applyFont="1" applyBorder="1" applyAlignment="1">
      <alignment horizontal="center" vertical="center"/>
    </xf>
    <xf numFmtId="0" fontId="99" fillId="0" borderId="2" xfId="0" applyFont="1" applyBorder="1" applyAlignment="1">
      <alignment horizontal="center" vertical="center"/>
    </xf>
    <xf numFmtId="0" fontId="99" fillId="0" borderId="3" xfId="0" applyFont="1" applyBorder="1" applyAlignment="1">
      <alignment horizontal="center" vertical="center"/>
    </xf>
    <xf numFmtId="172" fontId="102" fillId="2" borderId="1" xfId="66" applyNumberFormat="1" applyFont="1" applyFill="1" applyBorder="1" applyAlignment="1">
      <alignment horizontal="center" vertical="center"/>
    </xf>
    <xf numFmtId="172" fontId="102" fillId="2" borderId="2" xfId="66" applyNumberFormat="1" applyFont="1" applyFill="1" applyBorder="1" applyAlignment="1">
      <alignment horizontal="center" vertical="center"/>
    </xf>
    <xf numFmtId="172" fontId="102" fillId="2" borderId="3" xfId="66" applyNumberFormat="1" applyFont="1" applyFill="1" applyBorder="1" applyAlignment="1">
      <alignment horizontal="center" vertical="center"/>
    </xf>
    <xf numFmtId="172" fontId="102" fillId="2" borderId="5" xfId="66" applyNumberFormat="1" applyFont="1" applyFill="1" applyBorder="1" applyAlignment="1">
      <alignment horizontal="center" vertical="center"/>
    </xf>
    <xf numFmtId="0" fontId="88" fillId="0" borderId="2" xfId="69" applyFont="1" applyBorder="1" applyAlignment="1">
      <alignment horizontal="center" vertical="center"/>
    </xf>
    <xf numFmtId="0" fontId="87" fillId="0" borderId="23" xfId="69" applyFont="1" applyBorder="1" applyAlignment="1">
      <alignment horizontal="left" vertical="center"/>
    </xf>
    <xf numFmtId="0" fontId="87" fillId="0" borderId="0" xfId="69" applyFont="1" applyAlignment="1">
      <alignment horizontal="left" vertical="center"/>
    </xf>
    <xf numFmtId="0" fontId="88" fillId="0" borderId="0" xfId="69" applyFont="1" applyAlignment="1">
      <alignment horizontal="left" vertical="top" wrapText="1"/>
    </xf>
    <xf numFmtId="0" fontId="88" fillId="0" borderId="28" xfId="69" applyFont="1" applyBorder="1" applyAlignment="1">
      <alignment horizontal="left" vertical="top" wrapText="1"/>
    </xf>
    <xf numFmtId="167" fontId="89" fillId="0" borderId="5" xfId="69" applyNumberFormat="1" applyFont="1" applyBorder="1" applyAlignment="1">
      <alignment horizontal="center" vertical="center" wrapText="1"/>
    </xf>
    <xf numFmtId="0" fontId="88" fillId="0" borderId="5" xfId="69" applyFont="1" applyBorder="1" applyAlignment="1">
      <alignment horizontal="center" vertical="top" wrapText="1"/>
    </xf>
    <xf numFmtId="0" fontId="95" fillId="0" borderId="5" xfId="69" applyFont="1" applyBorder="1" applyAlignment="1">
      <alignment horizontal="center" vertical="top" wrapText="1"/>
    </xf>
    <xf numFmtId="167" fontId="83" fillId="0" borderId="5" xfId="69" applyNumberFormat="1" applyFont="1" applyBorder="1" applyAlignment="1">
      <alignment horizontal="center" vertical="center" wrapText="1"/>
    </xf>
    <xf numFmtId="167" fontId="95" fillId="0" borderId="5" xfId="69" applyNumberFormat="1" applyFont="1" applyBorder="1" applyAlignment="1">
      <alignment horizontal="center" vertical="center" wrapText="1"/>
    </xf>
    <xf numFmtId="0" fontId="83" fillId="0" borderId="5" xfId="69" applyFont="1" applyBorder="1" applyAlignment="1">
      <alignment horizontal="center" vertical="top" wrapText="1"/>
    </xf>
    <xf numFmtId="1" fontId="91" fillId="0" borderId="5" xfId="69" applyNumberFormat="1" applyFont="1" applyBorder="1" applyAlignment="1">
      <alignment horizontal="center" vertical="center" shrinkToFit="1"/>
    </xf>
    <xf numFmtId="0" fontId="83" fillId="0" borderId="29" xfId="0" applyFont="1" applyBorder="1" applyAlignment="1">
      <alignment horizontal="center" vertical="top" wrapText="1"/>
    </xf>
    <xf numFmtId="0" fontId="33" fillId="0" borderId="24" xfId="0" applyFont="1" applyBorder="1" applyAlignment="1">
      <alignment horizontal="center" vertical="top" wrapText="1"/>
    </xf>
    <xf numFmtId="0" fontId="33" fillId="0" borderId="25" xfId="0" applyFont="1" applyBorder="1" applyAlignment="1">
      <alignment horizontal="center" vertical="top" wrapText="1"/>
    </xf>
    <xf numFmtId="0" fontId="83" fillId="0" borderId="1" xfId="0" applyFont="1" applyBorder="1" applyAlignment="1">
      <alignment horizontal="center" vertical="top" wrapText="1"/>
    </xf>
    <xf numFmtId="0" fontId="83" fillId="0" borderId="2" xfId="0" applyFont="1" applyBorder="1" applyAlignment="1">
      <alignment horizontal="center" vertical="top" wrapText="1"/>
    </xf>
    <xf numFmtId="0" fontId="83" fillId="0" borderId="3" xfId="0" applyFont="1" applyBorder="1" applyAlignment="1">
      <alignment horizontal="center" vertical="top" wrapText="1"/>
    </xf>
    <xf numFmtId="0" fontId="83" fillId="0" borderId="5" xfId="0" applyFont="1" applyBorder="1" applyAlignment="1">
      <alignment horizontal="center" vertical="center" wrapText="1"/>
    </xf>
    <xf numFmtId="0" fontId="89" fillId="0" borderId="5" xfId="0" applyFont="1" applyBorder="1" applyAlignment="1">
      <alignment horizontal="center" vertical="center" wrapText="1"/>
    </xf>
    <xf numFmtId="0" fontId="89" fillId="0" borderId="5" xfId="0" applyFont="1" applyBorder="1" applyAlignment="1">
      <alignment horizontal="center" vertical="top" wrapText="1"/>
    </xf>
    <xf numFmtId="0" fontId="83" fillId="0" borderId="22" xfId="69" applyFont="1" applyBorder="1" applyAlignment="1">
      <alignment horizontal="center" vertical="center" wrapText="1"/>
    </xf>
    <xf numFmtId="0" fontId="88" fillId="0" borderId="51" xfId="69" applyFont="1" applyBorder="1" applyAlignment="1">
      <alignment horizontal="center" vertical="center" wrapText="1"/>
    </xf>
    <xf numFmtId="0" fontId="88" fillId="0" borderId="52" xfId="69" applyFont="1" applyBorder="1" applyAlignment="1">
      <alignment horizontal="center" vertical="center" wrapText="1"/>
    </xf>
    <xf numFmtId="0" fontId="87" fillId="0" borderId="0" xfId="69" applyFont="1" applyAlignment="1">
      <alignment horizontal="center" vertical="center"/>
    </xf>
    <xf numFmtId="0" fontId="88" fillId="0" borderId="0" xfId="69" applyFont="1" applyAlignment="1">
      <alignment horizontal="left" wrapText="1"/>
    </xf>
    <xf numFmtId="0" fontId="91" fillId="2" borderId="5" xfId="69" applyFont="1" applyFill="1" applyBorder="1" applyAlignment="1">
      <alignment horizontal="left" vertical="center" wrapText="1"/>
    </xf>
    <xf numFmtId="0" fontId="91" fillId="0" borderId="0" xfId="69" applyFont="1" applyAlignment="1">
      <alignment horizontal="left" wrapText="1"/>
    </xf>
    <xf numFmtId="0" fontId="89" fillId="0" borderId="0" xfId="69" applyFont="1" applyAlignment="1">
      <alignment horizontal="center" vertical="center" wrapText="1"/>
    </xf>
    <xf numFmtId="0" fontId="83" fillId="2" borderId="27" xfId="0" applyFont="1" applyFill="1" applyBorder="1" applyAlignment="1">
      <alignment horizontal="center" vertical="center" wrapText="1"/>
    </xf>
    <xf numFmtId="0" fontId="83" fillId="2" borderId="26" xfId="0" applyFont="1" applyFill="1" applyBorder="1" applyAlignment="1">
      <alignment horizontal="center" vertical="center" wrapText="1"/>
    </xf>
    <xf numFmtId="0" fontId="83" fillId="2" borderId="6" xfId="0" applyFont="1" applyFill="1" applyBorder="1" applyAlignment="1">
      <alignment horizontal="center" vertical="center" wrapText="1"/>
    </xf>
    <xf numFmtId="0" fontId="89" fillId="2" borderId="48" xfId="0" applyFont="1" applyFill="1" applyBorder="1" applyAlignment="1">
      <alignment horizontal="center" vertical="center" wrapText="1"/>
    </xf>
    <xf numFmtId="0" fontId="89" fillId="2" borderId="0" xfId="0" applyFont="1" applyFill="1" applyAlignment="1">
      <alignment horizontal="center" vertical="center" wrapText="1"/>
    </xf>
    <xf numFmtId="0" fontId="89" fillId="2" borderId="49" xfId="0" applyFont="1" applyFill="1" applyBorder="1" applyAlignment="1">
      <alignment horizontal="center" vertical="center" wrapText="1"/>
    </xf>
    <xf numFmtId="0" fontId="89" fillId="2" borderId="5" xfId="0" applyFont="1" applyFill="1" applyBorder="1" applyAlignment="1">
      <alignment horizontal="center" vertical="center" wrapText="1"/>
    </xf>
    <xf numFmtId="0" fontId="103" fillId="2" borderId="5"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89" fillId="0" borderId="29" xfId="0" applyFont="1" applyBorder="1" applyAlignment="1">
      <alignment horizontal="center" vertical="top" wrapText="1"/>
    </xf>
    <xf numFmtId="0" fontId="88" fillId="0" borderId="0" xfId="69" applyFont="1" applyAlignment="1">
      <alignment horizontal="center" vertical="top" wrapText="1"/>
    </xf>
    <xf numFmtId="0" fontId="88" fillId="0" borderId="28" xfId="69" applyFont="1" applyBorder="1" applyAlignment="1">
      <alignment horizontal="center" vertical="top" wrapText="1"/>
    </xf>
    <xf numFmtId="0" fontId="83" fillId="0" borderId="26" xfId="0" applyFont="1" applyBorder="1" applyAlignment="1">
      <alignment horizontal="center" vertical="center" wrapText="1"/>
    </xf>
    <xf numFmtId="0" fontId="1" fillId="0" borderId="26" xfId="0" applyFont="1" applyBorder="1" applyAlignment="1">
      <alignment horizontal="center" vertical="center" wrapText="1"/>
    </xf>
    <xf numFmtId="0" fontId="83" fillId="0" borderId="48" xfId="69" applyFont="1" applyBorder="1" applyAlignment="1">
      <alignment horizontal="center" vertical="center" wrapText="1"/>
    </xf>
    <xf numFmtId="0" fontId="83" fillId="0" borderId="0" xfId="69" applyFont="1" applyAlignment="1">
      <alignment horizontal="center" vertical="center" wrapText="1"/>
    </xf>
    <xf numFmtId="0" fontId="89" fillId="0" borderId="5" xfId="69" applyFont="1" applyBorder="1" applyAlignment="1">
      <alignment horizontal="justify" vertical="center" wrapText="1"/>
    </xf>
    <xf numFmtId="167" fontId="83" fillId="0" borderId="5" xfId="0" applyNumberFormat="1" applyFont="1" applyBorder="1" applyAlignment="1">
      <alignment horizontal="center" vertical="top" wrapText="1"/>
    </xf>
    <xf numFmtId="0" fontId="33" fillId="0" borderId="26" xfId="0" applyFont="1" applyBorder="1" applyAlignment="1">
      <alignment horizontal="left" vertical="center" wrapText="1"/>
    </xf>
    <xf numFmtId="0" fontId="89" fillId="0" borderId="5" xfId="69" applyFont="1" applyBorder="1" applyAlignment="1">
      <alignment horizontal="center" vertical="center" wrapText="1"/>
    </xf>
    <xf numFmtId="0" fontId="91" fillId="0" borderId="0" xfId="69" applyFont="1" applyAlignment="1">
      <alignment horizontal="center" vertical="center" wrapText="1"/>
    </xf>
    <xf numFmtId="0" fontId="88" fillId="0" borderId="27" xfId="69" applyFont="1" applyBorder="1" applyAlignment="1">
      <alignment horizontal="center" vertical="center" wrapText="1"/>
    </xf>
    <xf numFmtId="0" fontId="88" fillId="0" borderId="26" xfId="69" applyFont="1" applyBorder="1" applyAlignment="1">
      <alignment horizontal="center" vertical="center" wrapText="1"/>
    </xf>
    <xf numFmtId="0" fontId="88" fillId="0" borderId="6" xfId="69" applyFont="1" applyBorder="1" applyAlignment="1">
      <alignment horizontal="center" vertical="center" wrapText="1"/>
    </xf>
    <xf numFmtId="0" fontId="91" fillId="0" borderId="29" xfId="69" applyFont="1" applyBorder="1" applyAlignment="1">
      <alignment horizontal="center" vertical="center" wrapText="1"/>
    </xf>
    <xf numFmtId="0" fontId="88" fillId="0" borderId="24" xfId="69" applyFont="1" applyBorder="1" applyAlignment="1">
      <alignment horizontal="center" vertical="center" wrapText="1"/>
    </xf>
    <xf numFmtId="0" fontId="88" fillId="0" borderId="25" xfId="69" applyFont="1" applyBorder="1" applyAlignment="1">
      <alignment horizontal="center" vertical="center" wrapText="1"/>
    </xf>
    <xf numFmtId="0" fontId="85" fillId="0" borderId="5" xfId="0" applyFont="1" applyBorder="1" applyAlignment="1">
      <alignment horizontal="center" vertical="center" wrapText="1"/>
    </xf>
    <xf numFmtId="0" fontId="73" fillId="0" borderId="5" xfId="0" applyFont="1" applyBorder="1" applyAlignment="1">
      <alignment horizontal="center" vertical="center" wrapText="1"/>
    </xf>
    <xf numFmtId="0" fontId="89" fillId="0" borderId="0" xfId="69" applyFont="1" applyAlignment="1">
      <alignment horizontal="left" vertical="center" wrapText="1"/>
    </xf>
    <xf numFmtId="0" fontId="88" fillId="0" borderId="0" xfId="69" applyFont="1" applyAlignment="1">
      <alignment horizontal="left" vertical="center" wrapText="1"/>
    </xf>
    <xf numFmtId="0" fontId="83" fillId="0" borderId="4" xfId="69" applyFont="1" applyBorder="1" applyAlignment="1">
      <alignment horizontal="center" vertical="center" wrapText="1"/>
    </xf>
    <xf numFmtId="0" fontId="88" fillId="0" borderId="48" xfId="69" applyFont="1" applyBorder="1" applyAlignment="1">
      <alignment horizontal="center" vertical="center" wrapText="1"/>
    </xf>
    <xf numFmtId="0" fontId="89" fillId="0" borderId="48" xfId="69" applyFont="1" applyBorder="1" applyAlignment="1">
      <alignment horizontal="center" vertical="center" wrapText="1"/>
    </xf>
    <xf numFmtId="0" fontId="88" fillId="0" borderId="5" xfId="69" applyFont="1" applyBorder="1" applyAlignment="1">
      <alignment horizontal="center" vertical="center" wrapText="1"/>
    </xf>
    <xf numFmtId="0" fontId="99" fillId="0" borderId="5" xfId="0" applyFont="1" applyBorder="1" applyAlignment="1">
      <alignment horizontal="center" vertical="center" wrapText="1"/>
    </xf>
    <xf numFmtId="0" fontId="12" fillId="4" borderId="9" xfId="1" applyFont="1" applyFill="1" applyBorder="1" applyAlignment="1">
      <alignment horizontal="center" vertical="center" wrapText="1"/>
    </xf>
    <xf numFmtId="0" fontId="12" fillId="4" borderId="10" xfId="1" applyFont="1" applyFill="1" applyBorder="1" applyAlignment="1">
      <alignment horizontal="center" vertical="center" wrapText="1"/>
    </xf>
    <xf numFmtId="0" fontId="2" fillId="0" borderId="0" xfId="1" applyAlignment="1">
      <alignment horizontal="justify" vertical="justify" wrapText="1"/>
    </xf>
    <xf numFmtId="0" fontId="12" fillId="8" borderId="9" xfId="1" applyFont="1" applyFill="1" applyBorder="1" applyAlignment="1">
      <alignment horizontal="left" vertical="center" wrapText="1"/>
    </xf>
    <xf numFmtId="0" fontId="12" fillId="8" borderId="10" xfId="1" applyFont="1" applyFill="1" applyBorder="1" applyAlignment="1">
      <alignment horizontal="left" vertical="center" wrapText="1"/>
    </xf>
    <xf numFmtId="0" fontId="16" fillId="0" borderId="11" xfId="1" applyFont="1" applyBorder="1" applyAlignment="1">
      <alignment horizontal="center" vertical="center" wrapText="1"/>
    </xf>
    <xf numFmtId="0" fontId="16" fillId="0" borderId="0" xfId="1" applyFont="1" applyAlignment="1">
      <alignment horizontal="center" vertical="center" wrapText="1"/>
    </xf>
    <xf numFmtId="0" fontId="37" fillId="0" borderId="1" xfId="1" applyFont="1" applyBorder="1" applyAlignment="1">
      <alignment horizontal="center" vertical="center" wrapText="1"/>
    </xf>
    <xf numFmtId="0" fontId="37" fillId="0" borderId="2" xfId="1" applyFont="1" applyBorder="1" applyAlignment="1">
      <alignment horizontal="center" vertical="center" wrapText="1"/>
    </xf>
    <xf numFmtId="0" fontId="37" fillId="0" borderId="3" xfId="1" applyFont="1" applyBorder="1" applyAlignment="1">
      <alignment horizontal="center" vertical="center" wrapText="1"/>
    </xf>
    <xf numFmtId="0" fontId="120" fillId="3" borderId="0" xfId="1" applyFont="1" applyFill="1" applyAlignment="1">
      <alignment horizontal="center" vertical="center" wrapText="1"/>
    </xf>
    <xf numFmtId="0" fontId="19" fillId="12" borderId="1" xfId="1" applyFont="1" applyFill="1" applyBorder="1" applyAlignment="1">
      <alignment horizontal="center" vertical="center" wrapText="1"/>
    </xf>
    <xf numFmtId="0" fontId="19" fillId="12" borderId="2" xfId="1" applyFont="1" applyFill="1" applyBorder="1" applyAlignment="1">
      <alignment horizontal="center" vertical="center" wrapText="1"/>
    </xf>
    <xf numFmtId="0" fontId="19" fillId="12" borderId="3" xfId="1" applyFont="1" applyFill="1" applyBorder="1" applyAlignment="1">
      <alignment horizontal="center" vertical="center" wrapText="1"/>
    </xf>
    <xf numFmtId="44" fontId="2" fillId="12" borderId="1" xfId="66" applyFont="1" applyFill="1" applyBorder="1" applyAlignment="1">
      <alignment horizontal="center" vertical="center" wrapText="1"/>
    </xf>
    <xf numFmtId="44" fontId="2" fillId="12" borderId="2" xfId="66" applyFont="1" applyFill="1" applyBorder="1" applyAlignment="1">
      <alignment horizontal="center" vertical="center" wrapText="1"/>
    </xf>
    <xf numFmtId="44" fontId="2" fillId="12" borderId="3" xfId="66" applyFont="1" applyFill="1" applyBorder="1" applyAlignment="1">
      <alignment horizontal="center" vertical="center" wrapText="1"/>
    </xf>
    <xf numFmtId="0" fontId="37" fillId="9" borderId="3" xfId="1" applyFont="1" applyFill="1" applyBorder="1" applyAlignment="1">
      <alignment horizontal="center" vertical="center" wrapText="1"/>
    </xf>
    <xf numFmtId="0" fontId="33" fillId="0" borderId="0" xfId="0" applyFont="1" applyAlignment="1">
      <alignment horizontal="center"/>
    </xf>
    <xf numFmtId="0" fontId="33" fillId="0" borderId="5" xfId="0" applyFont="1" applyBorder="1" applyAlignment="1">
      <alignment horizontal="center"/>
    </xf>
    <xf numFmtId="17" fontId="0" fillId="0" borderId="5" xfId="0" applyNumberFormat="1" applyBorder="1"/>
    <xf numFmtId="4" fontId="0" fillId="0" borderId="5" xfId="0" applyNumberFormat="1" applyBorder="1"/>
    <xf numFmtId="0" fontId="33" fillId="0" borderId="5" xfId="0" applyFont="1" applyBorder="1" applyAlignment="1">
      <alignment horizontal="center"/>
    </xf>
    <xf numFmtId="4" fontId="33" fillId="0" borderId="5" xfId="0" applyNumberFormat="1" applyFont="1" applyBorder="1"/>
  </cellXfs>
  <cellStyles count="71">
    <cellStyle name="Euro" xfId="20" xr:uid="{00000000-0005-0000-0000-000000000000}"/>
    <cellStyle name="Hyperlink 2" xfId="4" xr:uid="{00000000-0005-0000-0000-000001000000}"/>
    <cellStyle name="Hyperlink 2 2" xfId="21" xr:uid="{00000000-0005-0000-0000-000002000000}"/>
    <cellStyle name="Hyperlink 3" xfId="22" xr:uid="{00000000-0005-0000-0000-000003000000}"/>
    <cellStyle name="Moeda" xfId="66" builtinId="4"/>
    <cellStyle name="Moeda 2" xfId="3" xr:uid="{00000000-0005-0000-0000-000005000000}"/>
    <cellStyle name="Moeda 2 2" xfId="23" xr:uid="{00000000-0005-0000-0000-000006000000}"/>
    <cellStyle name="Moeda 2 2 2" xfId="24" xr:uid="{00000000-0005-0000-0000-000007000000}"/>
    <cellStyle name="Moeda 2 3" xfId="25" xr:uid="{00000000-0005-0000-0000-000008000000}"/>
    <cellStyle name="Moeda 2 4" xfId="26" xr:uid="{00000000-0005-0000-0000-000009000000}"/>
    <cellStyle name="Moeda 3" xfId="5" xr:uid="{00000000-0005-0000-0000-00000A000000}"/>
    <cellStyle name="Moeda 3 2" xfId="6" xr:uid="{00000000-0005-0000-0000-00000B000000}"/>
    <cellStyle name="Moeda 4" xfId="7" xr:uid="{00000000-0005-0000-0000-00000C000000}"/>
    <cellStyle name="Moeda 4 2" xfId="27" xr:uid="{00000000-0005-0000-0000-00000D000000}"/>
    <cellStyle name="Moeda 4 3" xfId="28" xr:uid="{00000000-0005-0000-0000-00000E000000}"/>
    <cellStyle name="Moeda 4 4" xfId="29" xr:uid="{00000000-0005-0000-0000-00000F000000}"/>
    <cellStyle name="Moeda 4 5" xfId="30" xr:uid="{00000000-0005-0000-0000-000010000000}"/>
    <cellStyle name="Moeda 4 6" xfId="31" xr:uid="{00000000-0005-0000-0000-000011000000}"/>
    <cellStyle name="Moeda 4 7" xfId="32" xr:uid="{00000000-0005-0000-0000-000012000000}"/>
    <cellStyle name="Moeda 4_Atacadão_Vigilância - Taguatinga" xfId="33" xr:uid="{00000000-0005-0000-0000-000013000000}"/>
    <cellStyle name="Moeda 5" xfId="34" xr:uid="{00000000-0005-0000-0000-000014000000}"/>
    <cellStyle name="Moeda 6" xfId="35" xr:uid="{00000000-0005-0000-0000-000015000000}"/>
    <cellStyle name="Moeda 7" xfId="36" xr:uid="{00000000-0005-0000-0000-000016000000}"/>
    <cellStyle name="Moeda 8" xfId="70" xr:uid="{00000000-0005-0000-0000-000017000000}"/>
    <cellStyle name="Normal" xfId="0" builtinId="0"/>
    <cellStyle name="Normal 2" xfId="1" xr:uid="{00000000-0005-0000-0000-000019000000}"/>
    <cellStyle name="Normal 2 2" xfId="8" xr:uid="{00000000-0005-0000-0000-00001A000000}"/>
    <cellStyle name="Normal 2 3" xfId="9" xr:uid="{00000000-0005-0000-0000-00001B000000}"/>
    <cellStyle name="Normal 3" xfId="10" xr:uid="{00000000-0005-0000-0000-00001C000000}"/>
    <cellStyle name="Normal 3 2" xfId="11" xr:uid="{00000000-0005-0000-0000-00001D000000}"/>
    <cellStyle name="Normal 3__HPlus_Vigilancia_Reajuste 2012" xfId="37" xr:uid="{00000000-0005-0000-0000-00001E000000}"/>
    <cellStyle name="Normal 4" xfId="18" xr:uid="{00000000-0005-0000-0000-00001F000000}"/>
    <cellStyle name="Normal 5" xfId="38" xr:uid="{00000000-0005-0000-0000-000020000000}"/>
    <cellStyle name="Normal 6" xfId="39" xr:uid="{00000000-0005-0000-0000-000021000000}"/>
    <cellStyle name="Normal 7" xfId="63" xr:uid="{00000000-0005-0000-0000-000022000000}"/>
    <cellStyle name="Normal 8" xfId="65" xr:uid="{00000000-0005-0000-0000-000023000000}"/>
    <cellStyle name="Normal 9" xfId="69" xr:uid="{00000000-0005-0000-0000-000024000000}"/>
    <cellStyle name="Porcentagem" xfId="68" builtinId="5"/>
    <cellStyle name="Porcentagem 2" xfId="12" xr:uid="{00000000-0005-0000-0000-000026000000}"/>
    <cellStyle name="Porcentagem 2 2" xfId="13" xr:uid="{00000000-0005-0000-0000-000027000000}"/>
    <cellStyle name="Porcentagem 3" xfId="14" xr:uid="{00000000-0005-0000-0000-000028000000}"/>
    <cellStyle name="Porcentagem 3 2" xfId="40" xr:uid="{00000000-0005-0000-0000-000029000000}"/>
    <cellStyle name="Porcentagem 3 3" xfId="41" xr:uid="{00000000-0005-0000-0000-00002A000000}"/>
    <cellStyle name="Porcentagem 4" xfId="15" xr:uid="{00000000-0005-0000-0000-00002B000000}"/>
    <cellStyle name="Porcentagem 5" xfId="17" xr:uid="{00000000-0005-0000-0000-00002C000000}"/>
    <cellStyle name="Porcentagem 6" xfId="19" xr:uid="{00000000-0005-0000-0000-00002D000000}"/>
    <cellStyle name="Separador de milhares 2" xfId="2" xr:uid="{00000000-0005-0000-0000-00002E000000}"/>
    <cellStyle name="Separador de milhares 2 2" xfId="16" xr:uid="{00000000-0005-0000-0000-00002F000000}"/>
    <cellStyle name="Separador de milhares 2 2 2" xfId="42" xr:uid="{00000000-0005-0000-0000-000030000000}"/>
    <cellStyle name="Separador de milhares 2 3" xfId="43" xr:uid="{00000000-0005-0000-0000-000031000000}"/>
    <cellStyle name="Separador de milhares 2 4" xfId="44" xr:uid="{00000000-0005-0000-0000-000032000000}"/>
    <cellStyle name="Separador de milhares 2 5" xfId="64" xr:uid="{00000000-0005-0000-0000-000033000000}"/>
    <cellStyle name="Separador de milhares 2_Atacadão_Vigilância - Taguatinga" xfId="45" xr:uid="{00000000-0005-0000-0000-000034000000}"/>
    <cellStyle name="Separador de milhares 3" xfId="46" xr:uid="{00000000-0005-0000-0000-000035000000}"/>
    <cellStyle name="Separador de milhares 3 2" xfId="47" xr:uid="{00000000-0005-0000-0000-000036000000}"/>
    <cellStyle name="Separador de milhares 4" xfId="48" xr:uid="{00000000-0005-0000-0000-000037000000}"/>
    <cellStyle name="Separador de milhares 4 10" xfId="49" xr:uid="{00000000-0005-0000-0000-000038000000}"/>
    <cellStyle name="Separador de milhares 4 2" xfId="50" xr:uid="{00000000-0005-0000-0000-000039000000}"/>
    <cellStyle name="Separador de milhares 4 3" xfId="51" xr:uid="{00000000-0005-0000-0000-00003A000000}"/>
    <cellStyle name="Separador de milhares 4 4" xfId="52" xr:uid="{00000000-0005-0000-0000-00003B000000}"/>
    <cellStyle name="Separador de milhares 4 5" xfId="53" xr:uid="{00000000-0005-0000-0000-00003C000000}"/>
    <cellStyle name="Separador de milhares 4 6" xfId="54" xr:uid="{00000000-0005-0000-0000-00003D000000}"/>
    <cellStyle name="Separador de milhares 4 7" xfId="55" xr:uid="{00000000-0005-0000-0000-00003E000000}"/>
    <cellStyle name="Separador de milhares 4 8" xfId="56" xr:uid="{00000000-0005-0000-0000-00003F000000}"/>
    <cellStyle name="Separador de milhares 4 9" xfId="57" xr:uid="{00000000-0005-0000-0000-000040000000}"/>
    <cellStyle name="Separador de milhares 4_Atacadão_Vigilância - Taguatinga" xfId="58" xr:uid="{00000000-0005-0000-0000-000041000000}"/>
    <cellStyle name="Separador de milhares 5" xfId="59" xr:uid="{00000000-0005-0000-0000-000042000000}"/>
    <cellStyle name="Título 1 1" xfId="60" xr:uid="{00000000-0005-0000-0000-000043000000}"/>
    <cellStyle name="Título 1 1 1" xfId="61" xr:uid="{00000000-0005-0000-0000-000044000000}"/>
    <cellStyle name="Título 5" xfId="67" xr:uid="{00000000-0005-0000-0000-000045000000}"/>
    <cellStyle name="Vírgula 2" xfId="62" xr:uid="{00000000-0005-0000-0000-00004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152400</xdr:colOff>
      <xdr:row>3</xdr:row>
      <xdr:rowOff>257175</xdr:rowOff>
    </xdr:to>
    <xdr:pic>
      <xdr:nvPicPr>
        <xdr:cNvPr id="2" name="Imagem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038225" cy="952500"/>
        </a:xfrm>
        <a:prstGeom prst="rect">
          <a:avLst/>
        </a:prstGeom>
        <a:noFill/>
        <a:ln w="9525">
          <a:noFill/>
          <a:miter lim="800000"/>
          <a:headEnd/>
          <a:tailEnd/>
        </a:ln>
      </xdr:spPr>
    </xdr:pic>
    <xdr:clientData/>
  </xdr:twoCellAnchor>
  <xdr:twoCellAnchor editAs="oneCell">
    <xdr:from>
      <xdr:col>3</xdr:col>
      <xdr:colOff>214312</xdr:colOff>
      <xdr:row>44</xdr:row>
      <xdr:rowOff>23814</xdr:rowOff>
    </xdr:from>
    <xdr:to>
      <xdr:col>7</xdr:col>
      <xdr:colOff>11906</xdr:colOff>
      <xdr:row>49</xdr:row>
      <xdr:rowOff>189072</xdr:rowOff>
    </xdr:to>
    <xdr:pic>
      <xdr:nvPicPr>
        <xdr:cNvPr id="3" name="Imagem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947987" y="12663489"/>
          <a:ext cx="2797969" cy="11653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592931</xdr:colOff>
      <xdr:row>3</xdr:row>
      <xdr:rowOff>257175</xdr:rowOff>
    </xdr:to>
    <xdr:pic>
      <xdr:nvPicPr>
        <xdr:cNvPr id="2" name="Imagem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038225" cy="9525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592931</xdr:colOff>
      <xdr:row>5</xdr:row>
      <xdr:rowOff>0</xdr:rowOff>
    </xdr:to>
    <xdr:pic>
      <xdr:nvPicPr>
        <xdr:cNvPr id="2" name="Imagem 1">
          <a:extLst>
            <a:ext uri="{FF2B5EF4-FFF2-40B4-BE49-F238E27FC236}">
              <a16:creationId xmlns:a16="http://schemas.microsoft.com/office/drawing/2014/main" id="{7809DE49-3480-42EE-9881-6ABFEB974DC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040606" cy="9525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hyperlink" Target="http://www.planalto.gov.br/ccivil_03/_Ato2019-2022/2020/Mpv/mpv932.htm" TargetMode="External"/><Relationship Id="rId3" Type="http://schemas.openxmlformats.org/officeDocument/2006/relationships/hyperlink" Target="http://www.planalto.gov.br/ccivil_03/decreto-lei/Del5452.htm" TargetMode="External"/><Relationship Id="rId7" Type="http://schemas.openxmlformats.org/officeDocument/2006/relationships/hyperlink" Target="http://www.planalto.gov.br/ccivil_03/_Ato2019-2022/2020/Mpv/mpv932.htm" TargetMode="External"/><Relationship Id="rId2" Type="http://schemas.openxmlformats.org/officeDocument/2006/relationships/hyperlink" Target="http://www.planalto.gov.br/ccivil_03/decreto-lei/Del5452.htm" TargetMode="External"/><Relationship Id="rId1" Type="http://schemas.openxmlformats.org/officeDocument/2006/relationships/hyperlink" Target="http://www.planalto.gov.br/ccivil_03/decreto-lei/Del5452.htm" TargetMode="External"/><Relationship Id="rId6" Type="http://schemas.openxmlformats.org/officeDocument/2006/relationships/hyperlink" Target="http://www.planalto.gov.br/ccivil_03/decreto-lei/Del5452.htm" TargetMode="External"/><Relationship Id="rId5" Type="http://schemas.openxmlformats.org/officeDocument/2006/relationships/hyperlink" Target="http://www.planalto.gov.br/ccivil_03/decreto-lei/Del5452.htm" TargetMode="External"/><Relationship Id="rId10" Type="http://schemas.openxmlformats.org/officeDocument/2006/relationships/printerSettings" Target="../printerSettings/printerSettings16.bin"/><Relationship Id="rId4" Type="http://schemas.openxmlformats.org/officeDocument/2006/relationships/hyperlink" Target="http://www.planalto.gov.br/ccivil_03/decreto-lei/Del5452.htm" TargetMode="External"/><Relationship Id="rId9" Type="http://schemas.openxmlformats.org/officeDocument/2006/relationships/hyperlink" Target="http://www.planalto.gov.br/ccivil_03/decreto-lei/Del5452.htm"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B51"/>
  <sheetViews>
    <sheetView view="pageBreakPreview" topLeftCell="A7" zoomScale="80" zoomScaleNormal="100" zoomScaleSheetLayoutView="80" workbookViewId="0">
      <selection activeCell="O16" sqref="O16"/>
    </sheetView>
  </sheetViews>
  <sheetFormatPr defaultRowHeight="15" x14ac:dyDescent="0.2"/>
  <cols>
    <col min="1" max="1" width="7.28515625" style="24" customWidth="1"/>
    <col min="2" max="2" width="6" style="24" customWidth="1"/>
    <col min="3" max="3" width="27.7109375" style="24" customWidth="1"/>
    <col min="4" max="4" width="8" style="24" customWidth="1"/>
    <col min="5" max="5" width="12.42578125" style="24" customWidth="1"/>
    <col min="6" max="6" width="10.7109375" style="24" customWidth="1"/>
    <col min="7" max="7" width="13.85546875" style="24" customWidth="1"/>
    <col min="8" max="8" width="15.28515625" style="24" customWidth="1"/>
    <col min="9" max="10" width="16.42578125" style="24" customWidth="1"/>
    <col min="11" max="11" width="16.42578125" style="24" hidden="1" customWidth="1"/>
    <col min="12" max="12" width="14.7109375" style="24" hidden="1" customWidth="1"/>
    <col min="13" max="13" width="7" style="24" customWidth="1"/>
    <col min="14" max="14" width="16" style="24" customWidth="1"/>
    <col min="15" max="15" width="16.7109375" style="24" customWidth="1"/>
    <col min="16" max="16" width="17.140625" style="24" customWidth="1"/>
    <col min="17" max="17" width="16.42578125" style="24" customWidth="1"/>
    <col min="18" max="253" width="9.140625" style="24"/>
    <col min="254" max="254" width="3.28515625" style="24" customWidth="1"/>
    <col min="255" max="255" width="29" style="24" customWidth="1"/>
    <col min="256" max="256" width="14" style="24" customWidth="1"/>
    <col min="257" max="257" width="11.28515625" style="24" customWidth="1"/>
    <col min="258" max="258" width="16.7109375" style="24" customWidth="1"/>
    <col min="259" max="259" width="8.85546875" style="24" customWidth="1"/>
    <col min="260" max="260" width="29" style="24" customWidth="1"/>
    <col min="261" max="509" width="9.140625" style="24"/>
    <col min="510" max="510" width="3.28515625" style="24" customWidth="1"/>
    <col min="511" max="511" width="29" style="24" customWidth="1"/>
    <col min="512" max="512" width="14" style="24" customWidth="1"/>
    <col min="513" max="513" width="11.28515625" style="24" customWidth="1"/>
    <col min="514" max="514" width="16.7109375" style="24" customWidth="1"/>
    <col min="515" max="515" width="8.85546875" style="24" customWidth="1"/>
    <col min="516" max="516" width="29" style="24" customWidth="1"/>
    <col min="517" max="765" width="9.140625" style="24"/>
    <col min="766" max="766" width="3.28515625" style="24" customWidth="1"/>
    <col min="767" max="767" width="29" style="24" customWidth="1"/>
    <col min="768" max="768" width="14" style="24" customWidth="1"/>
    <col min="769" max="769" width="11.28515625" style="24" customWidth="1"/>
    <col min="770" max="770" width="16.7109375" style="24" customWidth="1"/>
    <col min="771" max="771" width="8.85546875" style="24" customWidth="1"/>
    <col min="772" max="772" width="29" style="24" customWidth="1"/>
    <col min="773" max="1021" width="9.140625" style="24"/>
    <col min="1022" max="1022" width="3.28515625" style="24" customWidth="1"/>
    <col min="1023" max="1023" width="29" style="24" customWidth="1"/>
    <col min="1024" max="1024" width="14" style="24" customWidth="1"/>
    <col min="1025" max="1025" width="11.28515625" style="24" customWidth="1"/>
    <col min="1026" max="1026" width="16.7109375" style="24" customWidth="1"/>
    <col min="1027" max="1027" width="8.85546875" style="24" customWidth="1"/>
    <col min="1028" max="1028" width="29" style="24" customWidth="1"/>
    <col min="1029" max="1277" width="9.140625" style="24"/>
    <col min="1278" max="1278" width="3.28515625" style="24" customWidth="1"/>
    <col min="1279" max="1279" width="29" style="24" customWidth="1"/>
    <col min="1280" max="1280" width="14" style="24" customWidth="1"/>
    <col min="1281" max="1281" width="11.28515625" style="24" customWidth="1"/>
    <col min="1282" max="1282" width="16.7109375" style="24" customWidth="1"/>
    <col min="1283" max="1283" width="8.85546875" style="24" customWidth="1"/>
    <col min="1284" max="1284" width="29" style="24" customWidth="1"/>
    <col min="1285" max="1533" width="9.140625" style="24"/>
    <col min="1534" max="1534" width="3.28515625" style="24" customWidth="1"/>
    <col min="1535" max="1535" width="29" style="24" customWidth="1"/>
    <col min="1536" max="1536" width="14" style="24" customWidth="1"/>
    <col min="1537" max="1537" width="11.28515625" style="24" customWidth="1"/>
    <col min="1538" max="1538" width="16.7109375" style="24" customWidth="1"/>
    <col min="1539" max="1539" width="8.85546875" style="24" customWidth="1"/>
    <col min="1540" max="1540" width="29" style="24" customWidth="1"/>
    <col min="1541" max="1789" width="9.140625" style="24"/>
    <col min="1790" max="1790" width="3.28515625" style="24" customWidth="1"/>
    <col min="1791" max="1791" width="29" style="24" customWidth="1"/>
    <col min="1792" max="1792" width="14" style="24" customWidth="1"/>
    <col min="1793" max="1793" width="11.28515625" style="24" customWidth="1"/>
    <col min="1794" max="1794" width="16.7109375" style="24" customWidth="1"/>
    <col min="1795" max="1795" width="8.85546875" style="24" customWidth="1"/>
    <col min="1796" max="1796" width="29" style="24" customWidth="1"/>
    <col min="1797" max="2045" width="9.140625" style="24"/>
    <col min="2046" max="2046" width="3.28515625" style="24" customWidth="1"/>
    <col min="2047" max="2047" width="29" style="24" customWidth="1"/>
    <col min="2048" max="2048" width="14" style="24" customWidth="1"/>
    <col min="2049" max="2049" width="11.28515625" style="24" customWidth="1"/>
    <col min="2050" max="2050" width="16.7109375" style="24" customWidth="1"/>
    <col min="2051" max="2051" width="8.85546875" style="24" customWidth="1"/>
    <col min="2052" max="2052" width="29" style="24" customWidth="1"/>
    <col min="2053" max="2301" width="9.140625" style="24"/>
    <col min="2302" max="2302" width="3.28515625" style="24" customWidth="1"/>
    <col min="2303" max="2303" width="29" style="24" customWidth="1"/>
    <col min="2304" max="2304" width="14" style="24" customWidth="1"/>
    <col min="2305" max="2305" width="11.28515625" style="24" customWidth="1"/>
    <col min="2306" max="2306" width="16.7109375" style="24" customWidth="1"/>
    <col min="2307" max="2307" width="8.85546875" style="24" customWidth="1"/>
    <col min="2308" max="2308" width="29" style="24" customWidth="1"/>
    <col min="2309" max="2557" width="9.140625" style="24"/>
    <col min="2558" max="2558" width="3.28515625" style="24" customWidth="1"/>
    <col min="2559" max="2559" width="29" style="24" customWidth="1"/>
    <col min="2560" max="2560" width="14" style="24" customWidth="1"/>
    <col min="2561" max="2561" width="11.28515625" style="24" customWidth="1"/>
    <col min="2562" max="2562" width="16.7109375" style="24" customWidth="1"/>
    <col min="2563" max="2563" width="8.85546875" style="24" customWidth="1"/>
    <col min="2564" max="2564" width="29" style="24" customWidth="1"/>
    <col min="2565" max="2813" width="9.140625" style="24"/>
    <col min="2814" max="2814" width="3.28515625" style="24" customWidth="1"/>
    <col min="2815" max="2815" width="29" style="24" customWidth="1"/>
    <col min="2816" max="2816" width="14" style="24" customWidth="1"/>
    <col min="2817" max="2817" width="11.28515625" style="24" customWidth="1"/>
    <col min="2818" max="2818" width="16.7109375" style="24" customWidth="1"/>
    <col min="2819" max="2819" width="8.85546875" style="24" customWidth="1"/>
    <col min="2820" max="2820" width="29" style="24" customWidth="1"/>
    <col min="2821" max="3069" width="9.140625" style="24"/>
    <col min="3070" max="3070" width="3.28515625" style="24" customWidth="1"/>
    <col min="3071" max="3071" width="29" style="24" customWidth="1"/>
    <col min="3072" max="3072" width="14" style="24" customWidth="1"/>
    <col min="3073" max="3073" width="11.28515625" style="24" customWidth="1"/>
    <col min="3074" max="3074" width="16.7109375" style="24" customWidth="1"/>
    <col min="3075" max="3075" width="8.85546875" style="24" customWidth="1"/>
    <col min="3076" max="3076" width="29" style="24" customWidth="1"/>
    <col min="3077" max="3325" width="9.140625" style="24"/>
    <col min="3326" max="3326" width="3.28515625" style="24" customWidth="1"/>
    <col min="3327" max="3327" width="29" style="24" customWidth="1"/>
    <col min="3328" max="3328" width="14" style="24" customWidth="1"/>
    <col min="3329" max="3329" width="11.28515625" style="24" customWidth="1"/>
    <col min="3330" max="3330" width="16.7109375" style="24" customWidth="1"/>
    <col min="3331" max="3331" width="8.85546875" style="24" customWidth="1"/>
    <col min="3332" max="3332" width="29" style="24" customWidth="1"/>
    <col min="3333" max="3581" width="9.140625" style="24"/>
    <col min="3582" max="3582" width="3.28515625" style="24" customWidth="1"/>
    <col min="3583" max="3583" width="29" style="24" customWidth="1"/>
    <col min="3584" max="3584" width="14" style="24" customWidth="1"/>
    <col min="3585" max="3585" width="11.28515625" style="24" customWidth="1"/>
    <col min="3586" max="3586" width="16.7109375" style="24" customWidth="1"/>
    <col min="3587" max="3587" width="8.85546875" style="24" customWidth="1"/>
    <col min="3588" max="3588" width="29" style="24" customWidth="1"/>
    <col min="3589" max="3837" width="9.140625" style="24"/>
    <col min="3838" max="3838" width="3.28515625" style="24" customWidth="1"/>
    <col min="3839" max="3839" width="29" style="24" customWidth="1"/>
    <col min="3840" max="3840" width="14" style="24" customWidth="1"/>
    <col min="3841" max="3841" width="11.28515625" style="24" customWidth="1"/>
    <col min="3842" max="3842" width="16.7109375" style="24" customWidth="1"/>
    <col min="3843" max="3843" width="8.85546875" style="24" customWidth="1"/>
    <col min="3844" max="3844" width="29" style="24" customWidth="1"/>
    <col min="3845" max="4093" width="9.140625" style="24"/>
    <col min="4094" max="4094" width="3.28515625" style="24" customWidth="1"/>
    <col min="4095" max="4095" width="29" style="24" customWidth="1"/>
    <col min="4096" max="4096" width="14" style="24" customWidth="1"/>
    <col min="4097" max="4097" width="11.28515625" style="24" customWidth="1"/>
    <col min="4098" max="4098" width="16.7109375" style="24" customWidth="1"/>
    <col min="4099" max="4099" width="8.85546875" style="24" customWidth="1"/>
    <col min="4100" max="4100" width="29" style="24" customWidth="1"/>
    <col min="4101" max="4349" width="9.140625" style="24"/>
    <col min="4350" max="4350" width="3.28515625" style="24" customWidth="1"/>
    <col min="4351" max="4351" width="29" style="24" customWidth="1"/>
    <col min="4352" max="4352" width="14" style="24" customWidth="1"/>
    <col min="4353" max="4353" width="11.28515625" style="24" customWidth="1"/>
    <col min="4354" max="4354" width="16.7109375" style="24" customWidth="1"/>
    <col min="4355" max="4355" width="8.85546875" style="24" customWidth="1"/>
    <col min="4356" max="4356" width="29" style="24" customWidth="1"/>
    <col min="4357" max="4605" width="9.140625" style="24"/>
    <col min="4606" max="4606" width="3.28515625" style="24" customWidth="1"/>
    <col min="4607" max="4607" width="29" style="24" customWidth="1"/>
    <col min="4608" max="4608" width="14" style="24" customWidth="1"/>
    <col min="4609" max="4609" width="11.28515625" style="24" customWidth="1"/>
    <col min="4610" max="4610" width="16.7109375" style="24" customWidth="1"/>
    <col min="4611" max="4611" width="8.85546875" style="24" customWidth="1"/>
    <col min="4612" max="4612" width="29" style="24" customWidth="1"/>
    <col min="4613" max="4861" width="9.140625" style="24"/>
    <col min="4862" max="4862" width="3.28515625" style="24" customWidth="1"/>
    <col min="4863" max="4863" width="29" style="24" customWidth="1"/>
    <col min="4864" max="4864" width="14" style="24" customWidth="1"/>
    <col min="4865" max="4865" width="11.28515625" style="24" customWidth="1"/>
    <col min="4866" max="4866" width="16.7109375" style="24" customWidth="1"/>
    <col min="4867" max="4867" width="8.85546875" style="24" customWidth="1"/>
    <col min="4868" max="4868" width="29" style="24" customWidth="1"/>
    <col min="4869" max="5117" width="9.140625" style="24"/>
    <col min="5118" max="5118" width="3.28515625" style="24" customWidth="1"/>
    <col min="5119" max="5119" width="29" style="24" customWidth="1"/>
    <col min="5120" max="5120" width="14" style="24" customWidth="1"/>
    <col min="5121" max="5121" width="11.28515625" style="24" customWidth="1"/>
    <col min="5122" max="5122" width="16.7109375" style="24" customWidth="1"/>
    <col min="5123" max="5123" width="8.85546875" style="24" customWidth="1"/>
    <col min="5124" max="5124" width="29" style="24" customWidth="1"/>
    <col min="5125" max="5373" width="9.140625" style="24"/>
    <col min="5374" max="5374" width="3.28515625" style="24" customWidth="1"/>
    <col min="5375" max="5375" width="29" style="24" customWidth="1"/>
    <col min="5376" max="5376" width="14" style="24" customWidth="1"/>
    <col min="5377" max="5377" width="11.28515625" style="24" customWidth="1"/>
    <col min="5378" max="5378" width="16.7109375" style="24" customWidth="1"/>
    <col min="5379" max="5379" width="8.85546875" style="24" customWidth="1"/>
    <col min="5380" max="5380" width="29" style="24" customWidth="1"/>
    <col min="5381" max="5629" width="9.140625" style="24"/>
    <col min="5630" max="5630" width="3.28515625" style="24" customWidth="1"/>
    <col min="5631" max="5631" width="29" style="24" customWidth="1"/>
    <col min="5632" max="5632" width="14" style="24" customWidth="1"/>
    <col min="5633" max="5633" width="11.28515625" style="24" customWidth="1"/>
    <col min="5634" max="5634" width="16.7109375" style="24" customWidth="1"/>
    <col min="5635" max="5635" width="8.85546875" style="24" customWidth="1"/>
    <col min="5636" max="5636" width="29" style="24" customWidth="1"/>
    <col min="5637" max="5885" width="9.140625" style="24"/>
    <col min="5886" max="5886" width="3.28515625" style="24" customWidth="1"/>
    <col min="5887" max="5887" width="29" style="24" customWidth="1"/>
    <col min="5888" max="5888" width="14" style="24" customWidth="1"/>
    <col min="5889" max="5889" width="11.28515625" style="24" customWidth="1"/>
    <col min="5890" max="5890" width="16.7109375" style="24" customWidth="1"/>
    <col min="5891" max="5891" width="8.85546875" style="24" customWidth="1"/>
    <col min="5892" max="5892" width="29" style="24" customWidth="1"/>
    <col min="5893" max="6141" width="9.140625" style="24"/>
    <col min="6142" max="6142" width="3.28515625" style="24" customWidth="1"/>
    <col min="6143" max="6143" width="29" style="24" customWidth="1"/>
    <col min="6144" max="6144" width="14" style="24" customWidth="1"/>
    <col min="6145" max="6145" width="11.28515625" style="24" customWidth="1"/>
    <col min="6146" max="6146" width="16.7109375" style="24" customWidth="1"/>
    <col min="6147" max="6147" width="8.85546875" style="24" customWidth="1"/>
    <col min="6148" max="6148" width="29" style="24" customWidth="1"/>
    <col min="6149" max="6397" width="9.140625" style="24"/>
    <col min="6398" max="6398" width="3.28515625" style="24" customWidth="1"/>
    <col min="6399" max="6399" width="29" style="24" customWidth="1"/>
    <col min="6400" max="6400" width="14" style="24" customWidth="1"/>
    <col min="6401" max="6401" width="11.28515625" style="24" customWidth="1"/>
    <col min="6402" max="6402" width="16.7109375" style="24" customWidth="1"/>
    <col min="6403" max="6403" width="8.85546875" style="24" customWidth="1"/>
    <col min="6404" max="6404" width="29" style="24" customWidth="1"/>
    <col min="6405" max="6653" width="9.140625" style="24"/>
    <col min="6654" max="6654" width="3.28515625" style="24" customWidth="1"/>
    <col min="6655" max="6655" width="29" style="24" customWidth="1"/>
    <col min="6656" max="6656" width="14" style="24" customWidth="1"/>
    <col min="6657" max="6657" width="11.28515625" style="24" customWidth="1"/>
    <col min="6658" max="6658" width="16.7109375" style="24" customWidth="1"/>
    <col min="6659" max="6659" width="8.85546875" style="24" customWidth="1"/>
    <col min="6660" max="6660" width="29" style="24" customWidth="1"/>
    <col min="6661" max="6909" width="9.140625" style="24"/>
    <col min="6910" max="6910" width="3.28515625" style="24" customWidth="1"/>
    <col min="6911" max="6911" width="29" style="24" customWidth="1"/>
    <col min="6912" max="6912" width="14" style="24" customWidth="1"/>
    <col min="6913" max="6913" width="11.28515625" style="24" customWidth="1"/>
    <col min="6914" max="6914" width="16.7109375" style="24" customWidth="1"/>
    <col min="6915" max="6915" width="8.85546875" style="24" customWidth="1"/>
    <col min="6916" max="6916" width="29" style="24" customWidth="1"/>
    <col min="6917" max="7165" width="9.140625" style="24"/>
    <col min="7166" max="7166" width="3.28515625" style="24" customWidth="1"/>
    <col min="7167" max="7167" width="29" style="24" customWidth="1"/>
    <col min="7168" max="7168" width="14" style="24" customWidth="1"/>
    <col min="7169" max="7169" width="11.28515625" style="24" customWidth="1"/>
    <col min="7170" max="7170" width="16.7109375" style="24" customWidth="1"/>
    <col min="7171" max="7171" width="8.85546875" style="24" customWidth="1"/>
    <col min="7172" max="7172" width="29" style="24" customWidth="1"/>
    <col min="7173" max="7421" width="9.140625" style="24"/>
    <col min="7422" max="7422" width="3.28515625" style="24" customWidth="1"/>
    <col min="7423" max="7423" width="29" style="24" customWidth="1"/>
    <col min="7424" max="7424" width="14" style="24" customWidth="1"/>
    <col min="7425" max="7425" width="11.28515625" style="24" customWidth="1"/>
    <col min="7426" max="7426" width="16.7109375" style="24" customWidth="1"/>
    <col min="7427" max="7427" width="8.85546875" style="24" customWidth="1"/>
    <col min="7428" max="7428" width="29" style="24" customWidth="1"/>
    <col min="7429" max="7677" width="9.140625" style="24"/>
    <col min="7678" max="7678" width="3.28515625" style="24" customWidth="1"/>
    <col min="7679" max="7679" width="29" style="24" customWidth="1"/>
    <col min="7680" max="7680" width="14" style="24" customWidth="1"/>
    <col min="7681" max="7681" width="11.28515625" style="24" customWidth="1"/>
    <col min="7682" max="7682" width="16.7109375" style="24" customWidth="1"/>
    <col min="7683" max="7683" width="8.85546875" style="24" customWidth="1"/>
    <col min="7684" max="7684" width="29" style="24" customWidth="1"/>
    <col min="7685" max="7933" width="9.140625" style="24"/>
    <col min="7934" max="7934" width="3.28515625" style="24" customWidth="1"/>
    <col min="7935" max="7935" width="29" style="24" customWidth="1"/>
    <col min="7936" max="7936" width="14" style="24" customWidth="1"/>
    <col min="7937" max="7937" width="11.28515625" style="24" customWidth="1"/>
    <col min="7938" max="7938" width="16.7109375" style="24" customWidth="1"/>
    <col min="7939" max="7939" width="8.85546875" style="24" customWidth="1"/>
    <col min="7940" max="7940" width="29" style="24" customWidth="1"/>
    <col min="7941" max="8189" width="9.140625" style="24"/>
    <col min="8190" max="8190" width="3.28515625" style="24" customWidth="1"/>
    <col min="8191" max="8191" width="29" style="24" customWidth="1"/>
    <col min="8192" max="8192" width="14" style="24" customWidth="1"/>
    <col min="8193" max="8193" width="11.28515625" style="24" customWidth="1"/>
    <col min="8194" max="8194" width="16.7109375" style="24" customWidth="1"/>
    <col min="8195" max="8195" width="8.85546875" style="24" customWidth="1"/>
    <col min="8196" max="8196" width="29" style="24" customWidth="1"/>
    <col min="8197" max="8445" width="9.140625" style="24"/>
    <col min="8446" max="8446" width="3.28515625" style="24" customWidth="1"/>
    <col min="8447" max="8447" width="29" style="24" customWidth="1"/>
    <col min="8448" max="8448" width="14" style="24" customWidth="1"/>
    <col min="8449" max="8449" width="11.28515625" style="24" customWidth="1"/>
    <col min="8450" max="8450" width="16.7109375" style="24" customWidth="1"/>
    <col min="8451" max="8451" width="8.85546875" style="24" customWidth="1"/>
    <col min="8452" max="8452" width="29" style="24" customWidth="1"/>
    <col min="8453" max="8701" width="9.140625" style="24"/>
    <col min="8702" max="8702" width="3.28515625" style="24" customWidth="1"/>
    <col min="8703" max="8703" width="29" style="24" customWidth="1"/>
    <col min="8704" max="8704" width="14" style="24" customWidth="1"/>
    <col min="8705" max="8705" width="11.28515625" style="24" customWidth="1"/>
    <col min="8706" max="8706" width="16.7109375" style="24" customWidth="1"/>
    <col min="8707" max="8707" width="8.85546875" style="24" customWidth="1"/>
    <col min="8708" max="8708" width="29" style="24" customWidth="1"/>
    <col min="8709" max="8957" width="9.140625" style="24"/>
    <col min="8958" max="8958" width="3.28515625" style="24" customWidth="1"/>
    <col min="8959" max="8959" width="29" style="24" customWidth="1"/>
    <col min="8960" max="8960" width="14" style="24" customWidth="1"/>
    <col min="8961" max="8961" width="11.28515625" style="24" customWidth="1"/>
    <col min="8962" max="8962" width="16.7109375" style="24" customWidth="1"/>
    <col min="8963" max="8963" width="8.85546875" style="24" customWidth="1"/>
    <col min="8964" max="8964" width="29" style="24" customWidth="1"/>
    <col min="8965" max="9213" width="9.140625" style="24"/>
    <col min="9214" max="9214" width="3.28515625" style="24" customWidth="1"/>
    <col min="9215" max="9215" width="29" style="24" customWidth="1"/>
    <col min="9216" max="9216" width="14" style="24" customWidth="1"/>
    <col min="9217" max="9217" width="11.28515625" style="24" customWidth="1"/>
    <col min="9218" max="9218" width="16.7109375" style="24" customWidth="1"/>
    <col min="9219" max="9219" width="8.85546875" style="24" customWidth="1"/>
    <col min="9220" max="9220" width="29" style="24" customWidth="1"/>
    <col min="9221" max="9469" width="9.140625" style="24"/>
    <col min="9470" max="9470" width="3.28515625" style="24" customWidth="1"/>
    <col min="9471" max="9471" width="29" style="24" customWidth="1"/>
    <col min="9472" max="9472" width="14" style="24" customWidth="1"/>
    <col min="9473" max="9473" width="11.28515625" style="24" customWidth="1"/>
    <col min="9474" max="9474" width="16.7109375" style="24" customWidth="1"/>
    <col min="9475" max="9475" width="8.85546875" style="24" customWidth="1"/>
    <col min="9476" max="9476" width="29" style="24" customWidth="1"/>
    <col min="9477" max="9725" width="9.140625" style="24"/>
    <col min="9726" max="9726" width="3.28515625" style="24" customWidth="1"/>
    <col min="9727" max="9727" width="29" style="24" customWidth="1"/>
    <col min="9728" max="9728" width="14" style="24" customWidth="1"/>
    <col min="9729" max="9729" width="11.28515625" style="24" customWidth="1"/>
    <col min="9730" max="9730" width="16.7109375" style="24" customWidth="1"/>
    <col min="9731" max="9731" width="8.85546875" style="24" customWidth="1"/>
    <col min="9732" max="9732" width="29" style="24" customWidth="1"/>
    <col min="9733" max="9981" width="9.140625" style="24"/>
    <col min="9982" max="9982" width="3.28515625" style="24" customWidth="1"/>
    <col min="9983" max="9983" width="29" style="24" customWidth="1"/>
    <col min="9984" max="9984" width="14" style="24" customWidth="1"/>
    <col min="9985" max="9985" width="11.28515625" style="24" customWidth="1"/>
    <col min="9986" max="9986" width="16.7109375" style="24" customWidth="1"/>
    <col min="9987" max="9987" width="8.85546875" style="24" customWidth="1"/>
    <col min="9988" max="9988" width="29" style="24" customWidth="1"/>
    <col min="9989" max="10237" width="9.140625" style="24"/>
    <col min="10238" max="10238" width="3.28515625" style="24" customWidth="1"/>
    <col min="10239" max="10239" width="29" style="24" customWidth="1"/>
    <col min="10240" max="10240" width="14" style="24" customWidth="1"/>
    <col min="10241" max="10241" width="11.28515625" style="24" customWidth="1"/>
    <col min="10242" max="10242" width="16.7109375" style="24" customWidth="1"/>
    <col min="10243" max="10243" width="8.85546875" style="24" customWidth="1"/>
    <col min="10244" max="10244" width="29" style="24" customWidth="1"/>
    <col min="10245" max="10493" width="9.140625" style="24"/>
    <col min="10494" max="10494" width="3.28515625" style="24" customWidth="1"/>
    <col min="10495" max="10495" width="29" style="24" customWidth="1"/>
    <col min="10496" max="10496" width="14" style="24" customWidth="1"/>
    <col min="10497" max="10497" width="11.28515625" style="24" customWidth="1"/>
    <col min="10498" max="10498" width="16.7109375" style="24" customWidth="1"/>
    <col min="10499" max="10499" width="8.85546875" style="24" customWidth="1"/>
    <col min="10500" max="10500" width="29" style="24" customWidth="1"/>
    <col min="10501" max="10749" width="9.140625" style="24"/>
    <col min="10750" max="10750" width="3.28515625" style="24" customWidth="1"/>
    <col min="10751" max="10751" width="29" style="24" customWidth="1"/>
    <col min="10752" max="10752" width="14" style="24" customWidth="1"/>
    <col min="10753" max="10753" width="11.28515625" style="24" customWidth="1"/>
    <col min="10754" max="10754" width="16.7109375" style="24" customWidth="1"/>
    <col min="10755" max="10755" width="8.85546875" style="24" customWidth="1"/>
    <col min="10756" max="10756" width="29" style="24" customWidth="1"/>
    <col min="10757" max="11005" width="9.140625" style="24"/>
    <col min="11006" max="11006" width="3.28515625" style="24" customWidth="1"/>
    <col min="11007" max="11007" width="29" style="24" customWidth="1"/>
    <col min="11008" max="11008" width="14" style="24" customWidth="1"/>
    <col min="11009" max="11009" width="11.28515625" style="24" customWidth="1"/>
    <col min="11010" max="11010" width="16.7109375" style="24" customWidth="1"/>
    <col min="11011" max="11011" width="8.85546875" style="24" customWidth="1"/>
    <col min="11012" max="11012" width="29" style="24" customWidth="1"/>
    <col min="11013" max="11261" width="9.140625" style="24"/>
    <col min="11262" max="11262" width="3.28515625" style="24" customWidth="1"/>
    <col min="11263" max="11263" width="29" style="24" customWidth="1"/>
    <col min="11264" max="11264" width="14" style="24" customWidth="1"/>
    <col min="11265" max="11265" width="11.28515625" style="24" customWidth="1"/>
    <col min="11266" max="11266" width="16.7109375" style="24" customWidth="1"/>
    <col min="11267" max="11267" width="8.85546875" style="24" customWidth="1"/>
    <col min="11268" max="11268" width="29" style="24" customWidth="1"/>
    <col min="11269" max="11517" width="9.140625" style="24"/>
    <col min="11518" max="11518" width="3.28515625" style="24" customWidth="1"/>
    <col min="11519" max="11519" width="29" style="24" customWidth="1"/>
    <col min="11520" max="11520" width="14" style="24" customWidth="1"/>
    <col min="11521" max="11521" width="11.28515625" style="24" customWidth="1"/>
    <col min="11522" max="11522" width="16.7109375" style="24" customWidth="1"/>
    <col min="11523" max="11523" width="8.85546875" style="24" customWidth="1"/>
    <col min="11524" max="11524" width="29" style="24" customWidth="1"/>
    <col min="11525" max="11773" width="9.140625" style="24"/>
    <col min="11774" max="11774" width="3.28515625" style="24" customWidth="1"/>
    <col min="11775" max="11775" width="29" style="24" customWidth="1"/>
    <col min="11776" max="11776" width="14" style="24" customWidth="1"/>
    <col min="11777" max="11777" width="11.28515625" style="24" customWidth="1"/>
    <col min="11778" max="11778" width="16.7109375" style="24" customWidth="1"/>
    <col min="11779" max="11779" width="8.85546875" style="24" customWidth="1"/>
    <col min="11780" max="11780" width="29" style="24" customWidth="1"/>
    <col min="11781" max="12029" width="9.140625" style="24"/>
    <col min="12030" max="12030" width="3.28515625" style="24" customWidth="1"/>
    <col min="12031" max="12031" width="29" style="24" customWidth="1"/>
    <col min="12032" max="12032" width="14" style="24" customWidth="1"/>
    <col min="12033" max="12033" width="11.28515625" style="24" customWidth="1"/>
    <col min="12034" max="12034" width="16.7109375" style="24" customWidth="1"/>
    <col min="12035" max="12035" width="8.85546875" style="24" customWidth="1"/>
    <col min="12036" max="12036" width="29" style="24" customWidth="1"/>
    <col min="12037" max="12285" width="9.140625" style="24"/>
    <col min="12286" max="12286" width="3.28515625" style="24" customWidth="1"/>
    <col min="12287" max="12287" width="29" style="24" customWidth="1"/>
    <col min="12288" max="12288" width="14" style="24" customWidth="1"/>
    <col min="12289" max="12289" width="11.28515625" style="24" customWidth="1"/>
    <col min="12290" max="12290" width="16.7109375" style="24" customWidth="1"/>
    <col min="12291" max="12291" width="8.85546875" style="24" customWidth="1"/>
    <col min="12292" max="12292" width="29" style="24" customWidth="1"/>
    <col min="12293" max="12541" width="9.140625" style="24"/>
    <col min="12542" max="12542" width="3.28515625" style="24" customWidth="1"/>
    <col min="12543" max="12543" width="29" style="24" customWidth="1"/>
    <col min="12544" max="12544" width="14" style="24" customWidth="1"/>
    <col min="12545" max="12545" width="11.28515625" style="24" customWidth="1"/>
    <col min="12546" max="12546" width="16.7109375" style="24" customWidth="1"/>
    <col min="12547" max="12547" width="8.85546875" style="24" customWidth="1"/>
    <col min="12548" max="12548" width="29" style="24" customWidth="1"/>
    <col min="12549" max="12797" width="9.140625" style="24"/>
    <col min="12798" max="12798" width="3.28515625" style="24" customWidth="1"/>
    <col min="12799" max="12799" width="29" style="24" customWidth="1"/>
    <col min="12800" max="12800" width="14" style="24" customWidth="1"/>
    <col min="12801" max="12801" width="11.28515625" style="24" customWidth="1"/>
    <col min="12802" max="12802" width="16.7109375" style="24" customWidth="1"/>
    <col min="12803" max="12803" width="8.85546875" style="24" customWidth="1"/>
    <col min="12804" max="12804" width="29" style="24" customWidth="1"/>
    <col min="12805" max="13053" width="9.140625" style="24"/>
    <col min="13054" max="13054" width="3.28515625" style="24" customWidth="1"/>
    <col min="13055" max="13055" width="29" style="24" customWidth="1"/>
    <col min="13056" max="13056" width="14" style="24" customWidth="1"/>
    <col min="13057" max="13057" width="11.28515625" style="24" customWidth="1"/>
    <col min="13058" max="13058" width="16.7109375" style="24" customWidth="1"/>
    <col min="13059" max="13059" width="8.85546875" style="24" customWidth="1"/>
    <col min="13060" max="13060" width="29" style="24" customWidth="1"/>
    <col min="13061" max="13309" width="9.140625" style="24"/>
    <col min="13310" max="13310" width="3.28515625" style="24" customWidth="1"/>
    <col min="13311" max="13311" width="29" style="24" customWidth="1"/>
    <col min="13312" max="13312" width="14" style="24" customWidth="1"/>
    <col min="13313" max="13313" width="11.28515625" style="24" customWidth="1"/>
    <col min="13314" max="13314" width="16.7109375" style="24" customWidth="1"/>
    <col min="13315" max="13315" width="8.85546875" style="24" customWidth="1"/>
    <col min="13316" max="13316" width="29" style="24" customWidth="1"/>
    <col min="13317" max="13565" width="9.140625" style="24"/>
    <col min="13566" max="13566" width="3.28515625" style="24" customWidth="1"/>
    <col min="13567" max="13567" width="29" style="24" customWidth="1"/>
    <col min="13568" max="13568" width="14" style="24" customWidth="1"/>
    <col min="13569" max="13569" width="11.28515625" style="24" customWidth="1"/>
    <col min="13570" max="13570" width="16.7109375" style="24" customWidth="1"/>
    <col min="13571" max="13571" width="8.85546875" style="24" customWidth="1"/>
    <col min="13572" max="13572" width="29" style="24" customWidth="1"/>
    <col min="13573" max="13821" width="9.140625" style="24"/>
    <col min="13822" max="13822" width="3.28515625" style="24" customWidth="1"/>
    <col min="13823" max="13823" width="29" style="24" customWidth="1"/>
    <col min="13824" max="13824" width="14" style="24" customWidth="1"/>
    <col min="13825" max="13825" width="11.28515625" style="24" customWidth="1"/>
    <col min="13826" max="13826" width="16.7109375" style="24" customWidth="1"/>
    <col min="13827" max="13827" width="8.85546875" style="24" customWidth="1"/>
    <col min="13828" max="13828" width="29" style="24" customWidth="1"/>
    <col min="13829" max="14077" width="9.140625" style="24"/>
    <col min="14078" max="14078" width="3.28515625" style="24" customWidth="1"/>
    <col min="14079" max="14079" width="29" style="24" customWidth="1"/>
    <col min="14080" max="14080" width="14" style="24" customWidth="1"/>
    <col min="14081" max="14081" width="11.28515625" style="24" customWidth="1"/>
    <col min="14082" max="14082" width="16.7109375" style="24" customWidth="1"/>
    <col min="14083" max="14083" width="8.85546875" style="24" customWidth="1"/>
    <col min="14084" max="14084" width="29" style="24" customWidth="1"/>
    <col min="14085" max="14333" width="9.140625" style="24"/>
    <col min="14334" max="14334" width="3.28515625" style="24" customWidth="1"/>
    <col min="14335" max="14335" width="29" style="24" customWidth="1"/>
    <col min="14336" max="14336" width="14" style="24" customWidth="1"/>
    <col min="14337" max="14337" width="11.28515625" style="24" customWidth="1"/>
    <col min="14338" max="14338" width="16.7109375" style="24" customWidth="1"/>
    <col min="14339" max="14339" width="8.85546875" style="24" customWidth="1"/>
    <col min="14340" max="14340" width="29" style="24" customWidth="1"/>
    <col min="14341" max="14589" width="9.140625" style="24"/>
    <col min="14590" max="14590" width="3.28515625" style="24" customWidth="1"/>
    <col min="14591" max="14591" width="29" style="24" customWidth="1"/>
    <col min="14592" max="14592" width="14" style="24" customWidth="1"/>
    <col min="14593" max="14593" width="11.28515625" style="24" customWidth="1"/>
    <col min="14594" max="14594" width="16.7109375" style="24" customWidth="1"/>
    <col min="14595" max="14595" width="8.85546875" style="24" customWidth="1"/>
    <col min="14596" max="14596" width="29" style="24" customWidth="1"/>
    <col min="14597" max="14845" width="9.140625" style="24"/>
    <col min="14846" max="14846" width="3.28515625" style="24" customWidth="1"/>
    <col min="14847" max="14847" width="29" style="24" customWidth="1"/>
    <col min="14848" max="14848" width="14" style="24" customWidth="1"/>
    <col min="14849" max="14849" width="11.28515625" style="24" customWidth="1"/>
    <col min="14850" max="14850" width="16.7109375" style="24" customWidth="1"/>
    <col min="14851" max="14851" width="8.85546875" style="24" customWidth="1"/>
    <col min="14852" max="14852" width="29" style="24" customWidth="1"/>
    <col min="14853" max="15101" width="9.140625" style="24"/>
    <col min="15102" max="15102" width="3.28515625" style="24" customWidth="1"/>
    <col min="15103" max="15103" width="29" style="24" customWidth="1"/>
    <col min="15104" max="15104" width="14" style="24" customWidth="1"/>
    <col min="15105" max="15105" width="11.28515625" style="24" customWidth="1"/>
    <col min="15106" max="15106" width="16.7109375" style="24" customWidth="1"/>
    <col min="15107" max="15107" width="8.85546875" style="24" customWidth="1"/>
    <col min="15108" max="15108" width="29" style="24" customWidth="1"/>
    <col min="15109" max="15357" width="9.140625" style="24"/>
    <col min="15358" max="15358" width="3.28515625" style="24" customWidth="1"/>
    <col min="15359" max="15359" width="29" style="24" customWidth="1"/>
    <col min="15360" max="15360" width="14" style="24" customWidth="1"/>
    <col min="15361" max="15361" width="11.28515625" style="24" customWidth="1"/>
    <col min="15362" max="15362" width="16.7109375" style="24" customWidth="1"/>
    <col min="15363" max="15363" width="8.85546875" style="24" customWidth="1"/>
    <col min="15364" max="15364" width="29" style="24" customWidth="1"/>
    <col min="15365" max="15613" width="9.140625" style="24"/>
    <col min="15614" max="15614" width="3.28515625" style="24" customWidth="1"/>
    <col min="15615" max="15615" width="29" style="24" customWidth="1"/>
    <col min="15616" max="15616" width="14" style="24" customWidth="1"/>
    <col min="15617" max="15617" width="11.28515625" style="24" customWidth="1"/>
    <col min="15618" max="15618" width="16.7109375" style="24" customWidth="1"/>
    <col min="15619" max="15619" width="8.85546875" style="24" customWidth="1"/>
    <col min="15620" max="15620" width="29" style="24" customWidth="1"/>
    <col min="15621" max="15869" width="9.140625" style="24"/>
    <col min="15870" max="15870" width="3.28515625" style="24" customWidth="1"/>
    <col min="15871" max="15871" width="29" style="24" customWidth="1"/>
    <col min="15872" max="15872" width="14" style="24" customWidth="1"/>
    <col min="15873" max="15873" width="11.28515625" style="24" customWidth="1"/>
    <col min="15874" max="15874" width="16.7109375" style="24" customWidth="1"/>
    <col min="15875" max="15875" width="8.85546875" style="24" customWidth="1"/>
    <col min="15876" max="15876" width="29" style="24" customWidth="1"/>
    <col min="15877" max="16125" width="9.140625" style="24"/>
    <col min="16126" max="16126" width="3.28515625" style="24" customWidth="1"/>
    <col min="16127" max="16127" width="29" style="24" customWidth="1"/>
    <col min="16128" max="16128" width="14" style="24" customWidth="1"/>
    <col min="16129" max="16129" width="11.28515625" style="24" customWidth="1"/>
    <col min="16130" max="16130" width="16.7109375" style="24" customWidth="1"/>
    <col min="16131" max="16131" width="8.85546875" style="24" customWidth="1"/>
    <col min="16132" max="16132" width="29" style="24" customWidth="1"/>
    <col min="16133" max="16384" width="9.140625" style="24"/>
  </cols>
  <sheetData>
    <row r="1" spans="1:253" ht="15.75" x14ac:dyDescent="0.2">
      <c r="C1" s="131"/>
      <c r="D1" s="131"/>
      <c r="E1" s="131"/>
      <c r="F1" s="131"/>
      <c r="G1" s="131"/>
      <c r="H1" s="131"/>
      <c r="I1" s="131"/>
      <c r="J1" s="131"/>
      <c r="K1" s="131"/>
      <c r="L1" s="131"/>
      <c r="M1" s="131"/>
      <c r="N1" s="131"/>
    </row>
    <row r="2" spans="1:253" ht="23.25" x14ac:dyDescent="0.2">
      <c r="A2" s="188"/>
      <c r="B2" s="188"/>
      <c r="C2" s="448" t="s">
        <v>172</v>
      </c>
      <c r="D2" s="448"/>
      <c r="E2" s="448"/>
      <c r="F2" s="448"/>
      <c r="G2" s="448"/>
      <c r="H2" s="448"/>
      <c r="I2" s="448"/>
      <c r="J2" s="448"/>
      <c r="K2" s="187"/>
      <c r="L2" s="173"/>
      <c r="M2" s="187"/>
      <c r="N2" s="187"/>
    </row>
    <row r="3" spans="1:253" ht="15.75" x14ac:dyDescent="0.2">
      <c r="A3" s="188"/>
      <c r="B3" s="188"/>
      <c r="C3" s="131"/>
      <c r="D3" s="188"/>
      <c r="E3" s="188"/>
      <c r="F3" s="188"/>
      <c r="G3" s="188"/>
      <c r="H3" s="131"/>
      <c r="I3" s="131"/>
      <c r="J3" s="131"/>
      <c r="K3" s="131"/>
      <c r="L3" s="131"/>
      <c r="M3" s="131"/>
      <c r="N3" s="131"/>
    </row>
    <row r="4" spans="1:253" ht="21" customHeight="1" x14ac:dyDescent="0.2">
      <c r="A4" s="188"/>
      <c r="B4" s="188"/>
      <c r="C4" s="131"/>
      <c r="D4" s="188"/>
      <c r="E4" s="188"/>
      <c r="F4" s="188"/>
      <c r="G4" s="188"/>
      <c r="H4" s="131"/>
      <c r="I4" s="131"/>
      <c r="J4" s="131"/>
      <c r="K4" s="131"/>
      <c r="L4" s="131"/>
      <c r="M4" s="131"/>
      <c r="N4" s="131"/>
    </row>
    <row r="5" spans="1:253" ht="15.75" x14ac:dyDescent="0.25">
      <c r="A5" s="449" t="s">
        <v>178</v>
      </c>
      <c r="B5" s="449"/>
      <c r="C5" s="449"/>
      <c r="D5" s="449"/>
      <c r="E5" s="449"/>
      <c r="F5" s="449"/>
      <c r="G5" s="449"/>
      <c r="H5" s="449"/>
      <c r="I5" s="131"/>
      <c r="J5" s="131"/>
      <c r="K5" s="131"/>
      <c r="L5" s="131"/>
      <c r="M5" s="131"/>
      <c r="N5" s="131"/>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c r="BA5" s="105"/>
      <c r="BB5" s="105"/>
      <c r="BC5" s="105"/>
      <c r="BD5" s="105"/>
      <c r="BE5" s="105"/>
      <c r="BF5" s="105"/>
      <c r="BG5" s="105"/>
      <c r="BH5" s="105"/>
      <c r="BI5" s="105"/>
      <c r="BJ5" s="105"/>
      <c r="BK5" s="105"/>
      <c r="BL5" s="105"/>
      <c r="BM5" s="105"/>
      <c r="BN5" s="105"/>
      <c r="BO5" s="105"/>
      <c r="BP5" s="105"/>
      <c r="BQ5" s="105"/>
      <c r="BR5" s="105"/>
      <c r="BS5" s="105"/>
      <c r="BT5" s="105"/>
      <c r="BU5" s="105"/>
      <c r="BV5" s="105"/>
      <c r="BW5" s="105"/>
      <c r="BX5" s="105"/>
      <c r="BY5" s="105"/>
      <c r="BZ5" s="105"/>
      <c r="CA5" s="105"/>
      <c r="CB5" s="105"/>
      <c r="CC5" s="105"/>
      <c r="CD5" s="105"/>
      <c r="CE5" s="105"/>
      <c r="CF5" s="105"/>
      <c r="CG5" s="105"/>
      <c r="CH5" s="105"/>
      <c r="CI5" s="105"/>
      <c r="CJ5" s="105"/>
      <c r="CK5" s="105"/>
      <c r="CL5" s="105"/>
      <c r="CM5" s="105"/>
      <c r="CN5" s="105"/>
      <c r="CO5" s="105"/>
      <c r="CP5" s="105"/>
      <c r="CQ5" s="105"/>
      <c r="CR5" s="105"/>
      <c r="CS5" s="105"/>
      <c r="CT5" s="105"/>
      <c r="CU5" s="105"/>
      <c r="CV5" s="105"/>
      <c r="CW5" s="105"/>
      <c r="CX5" s="105"/>
      <c r="CY5" s="105"/>
      <c r="CZ5" s="105"/>
      <c r="DA5" s="105"/>
      <c r="DB5" s="105"/>
      <c r="DC5" s="105"/>
      <c r="DD5" s="105"/>
      <c r="DE5" s="105"/>
      <c r="DF5" s="105"/>
      <c r="DG5" s="105"/>
      <c r="DH5" s="105"/>
      <c r="DI5" s="105"/>
      <c r="DJ5" s="105"/>
      <c r="DK5" s="105"/>
      <c r="DL5" s="105"/>
      <c r="DM5" s="105"/>
      <c r="DN5" s="105"/>
      <c r="DO5" s="105"/>
      <c r="DP5" s="105"/>
      <c r="DQ5" s="105"/>
      <c r="DR5" s="105"/>
      <c r="DS5" s="105"/>
      <c r="DT5" s="105"/>
      <c r="DU5" s="105"/>
      <c r="DV5" s="105"/>
      <c r="DW5" s="105"/>
      <c r="DX5" s="105"/>
      <c r="DY5" s="105"/>
      <c r="DZ5" s="105"/>
      <c r="EA5" s="105"/>
      <c r="EB5" s="105"/>
      <c r="EC5" s="105"/>
      <c r="ED5" s="105"/>
      <c r="EE5" s="105"/>
      <c r="EF5" s="105"/>
      <c r="EG5" s="105"/>
      <c r="EH5" s="105"/>
      <c r="EI5" s="105"/>
      <c r="EJ5" s="105"/>
      <c r="EK5" s="105"/>
      <c r="EL5" s="105"/>
      <c r="EM5" s="105"/>
      <c r="EN5" s="105"/>
      <c r="EO5" s="105"/>
      <c r="EP5" s="105"/>
      <c r="EQ5" s="105"/>
      <c r="ER5" s="105"/>
      <c r="ES5" s="105"/>
      <c r="ET5" s="105"/>
      <c r="EU5" s="105"/>
      <c r="EV5" s="105"/>
      <c r="EW5" s="105"/>
      <c r="EX5" s="105"/>
      <c r="EY5" s="105"/>
      <c r="EZ5" s="105"/>
      <c r="FA5" s="105"/>
      <c r="FB5" s="105"/>
      <c r="FC5" s="105"/>
      <c r="FD5" s="105"/>
      <c r="FE5" s="105"/>
      <c r="FF5" s="105"/>
      <c r="FG5" s="105"/>
      <c r="FH5" s="105"/>
      <c r="FI5" s="105"/>
      <c r="FJ5" s="105"/>
      <c r="FK5" s="105"/>
      <c r="FL5" s="105"/>
      <c r="FM5" s="105"/>
      <c r="FN5" s="105"/>
      <c r="FO5" s="105"/>
      <c r="FP5" s="105"/>
      <c r="FQ5" s="105"/>
      <c r="FR5" s="105"/>
      <c r="FS5" s="105"/>
      <c r="FT5" s="105"/>
      <c r="FU5" s="105"/>
      <c r="FV5" s="105"/>
      <c r="FW5" s="105"/>
      <c r="FX5" s="105"/>
      <c r="FY5" s="105"/>
      <c r="FZ5" s="105"/>
      <c r="GA5" s="105"/>
      <c r="GB5" s="105"/>
      <c r="GC5" s="105"/>
      <c r="GD5" s="105"/>
      <c r="GE5" s="105"/>
      <c r="GF5" s="105"/>
      <c r="GG5" s="105"/>
      <c r="GH5" s="105"/>
      <c r="GI5" s="105"/>
      <c r="GJ5" s="105"/>
      <c r="GK5" s="105"/>
      <c r="GL5" s="105"/>
      <c r="GM5" s="105"/>
      <c r="GN5" s="105"/>
      <c r="GO5" s="105"/>
      <c r="GP5" s="105"/>
      <c r="GQ5" s="105"/>
      <c r="GR5" s="105"/>
      <c r="GS5" s="105"/>
      <c r="GT5" s="105"/>
      <c r="GU5" s="105"/>
      <c r="GV5" s="105"/>
      <c r="GW5" s="105"/>
      <c r="GX5" s="105"/>
      <c r="GY5" s="105"/>
      <c r="GZ5" s="105"/>
      <c r="HA5" s="105"/>
      <c r="HB5" s="105"/>
      <c r="HC5" s="105"/>
      <c r="HD5" s="105"/>
      <c r="HE5" s="105"/>
      <c r="HF5" s="105"/>
      <c r="HG5" s="105"/>
      <c r="HH5" s="105"/>
      <c r="HI5" s="105"/>
      <c r="HJ5" s="105"/>
      <c r="HK5" s="105"/>
      <c r="HL5" s="105"/>
      <c r="HM5" s="105"/>
      <c r="HN5" s="105"/>
      <c r="HO5" s="105"/>
      <c r="HP5" s="105"/>
      <c r="HQ5" s="105"/>
      <c r="HR5" s="105"/>
      <c r="HS5" s="105"/>
      <c r="HT5" s="105"/>
      <c r="HU5" s="105"/>
      <c r="HV5" s="105"/>
      <c r="HW5" s="105"/>
      <c r="HX5" s="105"/>
      <c r="HY5" s="105"/>
      <c r="HZ5" s="105"/>
      <c r="IA5" s="105"/>
      <c r="IB5" s="105"/>
      <c r="IC5" s="105"/>
      <c r="ID5" s="105"/>
      <c r="IE5" s="105"/>
      <c r="IF5" s="105"/>
      <c r="IG5" s="105"/>
      <c r="IH5" s="105"/>
      <c r="II5" s="105"/>
      <c r="IJ5" s="105"/>
      <c r="IK5" s="105"/>
      <c r="IL5" s="105"/>
      <c r="IM5" s="105"/>
      <c r="IN5" s="105"/>
      <c r="IO5" s="105"/>
      <c r="IP5" s="105"/>
      <c r="IQ5" s="105"/>
      <c r="IR5" s="105"/>
      <c r="IS5" s="105"/>
    </row>
    <row r="6" spans="1:253" ht="18" x14ac:dyDescent="0.25">
      <c r="A6" s="450" t="s">
        <v>199</v>
      </c>
      <c r="B6" s="450"/>
      <c r="C6" s="450"/>
      <c r="D6" s="450"/>
      <c r="E6" s="450"/>
      <c r="F6" s="450"/>
      <c r="G6" s="450"/>
      <c r="H6" s="450"/>
      <c r="I6" s="131"/>
      <c r="J6" s="131"/>
      <c r="K6" s="131"/>
      <c r="L6" s="131"/>
      <c r="M6" s="131"/>
      <c r="N6" s="131"/>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5"/>
      <c r="BK6" s="105"/>
      <c r="BL6" s="105"/>
      <c r="BM6" s="105"/>
      <c r="BN6" s="105"/>
      <c r="BO6" s="105"/>
      <c r="BP6" s="105"/>
      <c r="BQ6" s="105"/>
      <c r="BR6" s="105"/>
      <c r="BS6" s="105"/>
      <c r="BT6" s="105"/>
      <c r="BU6" s="105"/>
      <c r="BV6" s="105"/>
      <c r="BW6" s="105"/>
      <c r="BX6" s="105"/>
      <c r="BY6" s="105"/>
      <c r="BZ6" s="105"/>
      <c r="CA6" s="105"/>
      <c r="CB6" s="105"/>
      <c r="CC6" s="105"/>
      <c r="CD6" s="105"/>
      <c r="CE6" s="105"/>
      <c r="CF6" s="105"/>
      <c r="CG6" s="105"/>
      <c r="CH6" s="105"/>
      <c r="CI6" s="105"/>
      <c r="CJ6" s="105"/>
      <c r="CK6" s="105"/>
      <c r="CL6" s="105"/>
      <c r="CM6" s="105"/>
      <c r="CN6" s="105"/>
      <c r="CO6" s="105"/>
      <c r="CP6" s="105"/>
      <c r="CQ6" s="105"/>
      <c r="CR6" s="105"/>
      <c r="CS6" s="105"/>
      <c r="CT6" s="105"/>
      <c r="CU6" s="105"/>
      <c r="CV6" s="105"/>
      <c r="CW6" s="105"/>
      <c r="CX6" s="105"/>
      <c r="CY6" s="105"/>
      <c r="CZ6" s="105"/>
      <c r="DA6" s="105"/>
      <c r="DB6" s="105"/>
      <c r="DC6" s="105"/>
      <c r="DD6" s="105"/>
      <c r="DE6" s="105"/>
      <c r="DF6" s="105"/>
      <c r="DG6" s="105"/>
      <c r="DH6" s="105"/>
      <c r="DI6" s="105"/>
      <c r="DJ6" s="105"/>
      <c r="DK6" s="105"/>
      <c r="DL6" s="105"/>
      <c r="DM6" s="105"/>
      <c r="DN6" s="105"/>
      <c r="DO6" s="105"/>
      <c r="DP6" s="105"/>
      <c r="DQ6" s="105"/>
      <c r="DR6" s="105"/>
      <c r="DS6" s="105"/>
      <c r="DT6" s="105"/>
      <c r="DU6" s="105"/>
      <c r="DV6" s="105"/>
      <c r="DW6" s="105"/>
      <c r="DX6" s="105"/>
      <c r="DY6" s="105"/>
      <c r="DZ6" s="105"/>
      <c r="EA6" s="105"/>
      <c r="EB6" s="105"/>
      <c r="EC6" s="105"/>
      <c r="ED6" s="105"/>
      <c r="EE6" s="105"/>
      <c r="EF6" s="105"/>
      <c r="EG6" s="105"/>
      <c r="EH6" s="105"/>
      <c r="EI6" s="105"/>
      <c r="EJ6" s="105"/>
      <c r="EK6" s="105"/>
      <c r="EL6" s="105"/>
      <c r="EM6" s="105"/>
      <c r="EN6" s="105"/>
      <c r="EO6" s="105"/>
      <c r="EP6" s="105"/>
      <c r="EQ6" s="105"/>
      <c r="ER6" s="105"/>
      <c r="ES6" s="105"/>
      <c r="ET6" s="105"/>
      <c r="EU6" s="105"/>
      <c r="EV6" s="105"/>
      <c r="EW6" s="105"/>
      <c r="EX6" s="105"/>
      <c r="EY6" s="105"/>
      <c r="EZ6" s="105"/>
      <c r="FA6" s="105"/>
      <c r="FB6" s="105"/>
      <c r="FC6" s="105"/>
      <c r="FD6" s="105"/>
      <c r="FE6" s="105"/>
      <c r="FF6" s="105"/>
      <c r="FG6" s="105"/>
      <c r="FH6" s="105"/>
      <c r="FI6" s="105"/>
      <c r="FJ6" s="105"/>
      <c r="FK6" s="105"/>
      <c r="FL6" s="105"/>
      <c r="FM6" s="105"/>
      <c r="FN6" s="105"/>
      <c r="FO6" s="105"/>
      <c r="FP6" s="105"/>
      <c r="FQ6" s="105"/>
      <c r="FR6" s="105"/>
      <c r="FS6" s="105"/>
      <c r="FT6" s="105"/>
      <c r="FU6" s="105"/>
      <c r="FV6" s="105"/>
      <c r="FW6" s="105"/>
      <c r="FX6" s="105"/>
      <c r="FY6" s="105"/>
      <c r="FZ6" s="105"/>
      <c r="GA6" s="105"/>
      <c r="GB6" s="105"/>
      <c r="GC6" s="105"/>
      <c r="GD6" s="105"/>
      <c r="GE6" s="105"/>
      <c r="GF6" s="105"/>
      <c r="GG6" s="105"/>
      <c r="GH6" s="105"/>
      <c r="GI6" s="105"/>
      <c r="GJ6" s="105"/>
      <c r="GK6" s="105"/>
      <c r="GL6" s="105"/>
      <c r="GM6" s="105"/>
      <c r="GN6" s="105"/>
      <c r="GO6" s="105"/>
      <c r="GP6" s="105"/>
      <c r="GQ6" s="105"/>
      <c r="GR6" s="105"/>
      <c r="GS6" s="105"/>
      <c r="GT6" s="105"/>
      <c r="GU6" s="105"/>
      <c r="GV6" s="105"/>
      <c r="GW6" s="105"/>
      <c r="GX6" s="105"/>
      <c r="GY6" s="105"/>
      <c r="GZ6" s="105"/>
      <c r="HA6" s="105"/>
      <c r="HB6" s="105"/>
      <c r="HC6" s="105"/>
      <c r="HD6" s="105"/>
      <c r="HE6" s="105"/>
      <c r="HF6" s="105"/>
      <c r="HG6" s="105"/>
      <c r="HH6" s="105"/>
      <c r="HI6" s="105"/>
      <c r="HJ6" s="105"/>
      <c r="HK6" s="105"/>
      <c r="HL6" s="105"/>
      <c r="HM6" s="105"/>
      <c r="HN6" s="105"/>
      <c r="HO6" s="105"/>
      <c r="HP6" s="105"/>
      <c r="HQ6" s="105"/>
      <c r="HR6" s="105"/>
      <c r="HS6" s="105"/>
      <c r="HT6" s="105"/>
      <c r="HU6" s="105"/>
      <c r="HV6" s="105"/>
      <c r="HW6" s="105"/>
      <c r="HX6" s="105"/>
      <c r="HY6" s="105"/>
      <c r="HZ6" s="105"/>
      <c r="IA6" s="105"/>
      <c r="IB6" s="105"/>
      <c r="IC6" s="105"/>
      <c r="ID6" s="105"/>
      <c r="IE6" s="105"/>
      <c r="IF6" s="105"/>
      <c r="IG6" s="105"/>
      <c r="IH6" s="105"/>
      <c r="II6" s="105"/>
      <c r="IJ6" s="105"/>
      <c r="IK6" s="105"/>
      <c r="IL6" s="105"/>
      <c r="IM6" s="105"/>
      <c r="IN6" s="105"/>
      <c r="IO6" s="105"/>
      <c r="IP6" s="105"/>
      <c r="IQ6" s="105"/>
      <c r="IR6" s="105"/>
      <c r="IS6" s="105"/>
    </row>
    <row r="7" spans="1:253" ht="15.75" x14ac:dyDescent="0.2">
      <c r="A7" s="451" t="s">
        <v>112</v>
      </c>
      <c r="B7" s="451"/>
      <c r="C7" s="451"/>
      <c r="D7" s="451"/>
      <c r="E7" s="451"/>
      <c r="F7" s="451"/>
      <c r="G7" s="451"/>
      <c r="H7" s="451"/>
      <c r="I7" s="131"/>
      <c r="J7" s="131"/>
      <c r="K7" s="131"/>
      <c r="L7" s="131"/>
      <c r="M7" s="131"/>
      <c r="N7" s="131"/>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106"/>
      <c r="BI7" s="106"/>
      <c r="BJ7" s="106"/>
      <c r="BK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c r="CO7" s="106"/>
      <c r="CP7" s="106"/>
      <c r="CQ7" s="106"/>
      <c r="CR7" s="106"/>
      <c r="CS7" s="106"/>
      <c r="CT7" s="106"/>
      <c r="CU7" s="106"/>
      <c r="CV7" s="106"/>
      <c r="CW7" s="106"/>
      <c r="CX7" s="106"/>
      <c r="CY7" s="106"/>
      <c r="CZ7" s="106"/>
      <c r="DA7" s="106"/>
      <c r="DB7" s="106"/>
      <c r="DC7" s="106"/>
      <c r="DD7" s="106"/>
      <c r="DE7" s="106"/>
      <c r="DF7" s="106"/>
      <c r="DG7" s="106"/>
      <c r="DH7" s="106"/>
      <c r="DI7" s="106"/>
      <c r="DJ7" s="106"/>
      <c r="DK7" s="106"/>
      <c r="DL7" s="106"/>
      <c r="DM7" s="106"/>
      <c r="DN7" s="106"/>
      <c r="DO7" s="106"/>
      <c r="DP7" s="106"/>
      <c r="DQ7" s="106"/>
      <c r="DR7" s="106"/>
      <c r="DS7" s="106"/>
      <c r="DT7" s="106"/>
      <c r="DU7" s="106"/>
      <c r="DV7" s="106"/>
      <c r="DW7" s="106"/>
      <c r="DX7" s="106"/>
      <c r="DY7" s="106"/>
      <c r="DZ7" s="106"/>
      <c r="EA7" s="106"/>
      <c r="EB7" s="106"/>
      <c r="EC7" s="106"/>
      <c r="ED7" s="106"/>
      <c r="EE7" s="106"/>
      <c r="EF7" s="106"/>
      <c r="EG7" s="106"/>
      <c r="EH7" s="106"/>
      <c r="EI7" s="106"/>
      <c r="EJ7" s="106"/>
      <c r="EK7" s="106"/>
      <c r="EL7" s="106"/>
      <c r="EM7" s="106"/>
      <c r="EN7" s="106"/>
      <c r="EO7" s="106"/>
      <c r="EP7" s="106"/>
      <c r="EQ7" s="106"/>
      <c r="ER7" s="106"/>
      <c r="ES7" s="106"/>
      <c r="ET7" s="106"/>
      <c r="EU7" s="106"/>
      <c r="EV7" s="106"/>
      <c r="EW7" s="106"/>
      <c r="EX7" s="106"/>
      <c r="EY7" s="106"/>
      <c r="EZ7" s="106"/>
      <c r="FA7" s="106"/>
      <c r="FB7" s="106"/>
      <c r="FC7" s="106"/>
      <c r="FD7" s="106"/>
      <c r="FE7" s="106"/>
      <c r="FF7" s="106"/>
      <c r="FG7" s="106"/>
      <c r="FH7" s="106"/>
      <c r="FI7" s="106"/>
      <c r="FJ7" s="106"/>
      <c r="FK7" s="106"/>
      <c r="FL7" s="106"/>
      <c r="FM7" s="106"/>
      <c r="FN7" s="106"/>
      <c r="FO7" s="106"/>
      <c r="FP7" s="106"/>
      <c r="FQ7" s="106"/>
      <c r="FR7" s="106"/>
      <c r="FS7" s="106"/>
      <c r="FT7" s="106"/>
      <c r="FU7" s="106"/>
      <c r="FV7" s="106"/>
      <c r="FW7" s="106"/>
      <c r="FX7" s="106"/>
      <c r="FY7" s="106"/>
      <c r="FZ7" s="106"/>
      <c r="GA7" s="106"/>
      <c r="GB7" s="106"/>
      <c r="GC7" s="106"/>
      <c r="GD7" s="106"/>
      <c r="GE7" s="106"/>
      <c r="GF7" s="106"/>
      <c r="GG7" s="106"/>
      <c r="GH7" s="106"/>
      <c r="GI7" s="106"/>
      <c r="GJ7" s="106"/>
      <c r="GK7" s="106"/>
      <c r="GL7" s="106"/>
      <c r="GM7" s="106"/>
      <c r="GN7" s="106"/>
      <c r="GO7" s="106"/>
      <c r="GP7" s="106"/>
      <c r="GQ7" s="106"/>
      <c r="GR7" s="106"/>
      <c r="GS7" s="106"/>
      <c r="GT7" s="106"/>
      <c r="GU7" s="106"/>
      <c r="GV7" s="106"/>
      <c r="GW7" s="106"/>
      <c r="GX7" s="106"/>
      <c r="GY7" s="106"/>
      <c r="GZ7" s="106"/>
      <c r="HA7" s="106"/>
      <c r="HB7" s="106"/>
      <c r="HC7" s="106"/>
      <c r="HD7" s="106"/>
      <c r="HE7" s="106"/>
      <c r="HF7" s="106"/>
      <c r="HG7" s="106"/>
      <c r="HH7" s="106"/>
      <c r="HI7" s="106"/>
      <c r="HJ7" s="106"/>
      <c r="HK7" s="106"/>
      <c r="HL7" s="106"/>
      <c r="HM7" s="106"/>
      <c r="HN7" s="106"/>
      <c r="HO7" s="106"/>
      <c r="HP7" s="106"/>
      <c r="HQ7" s="106"/>
      <c r="HR7" s="106"/>
      <c r="HS7" s="106"/>
      <c r="HT7" s="106"/>
      <c r="HU7" s="106"/>
      <c r="HV7" s="106"/>
      <c r="HW7" s="106"/>
      <c r="HX7" s="106"/>
      <c r="HY7" s="106"/>
      <c r="HZ7" s="106"/>
      <c r="IA7" s="106"/>
      <c r="IB7" s="106"/>
      <c r="IC7" s="106"/>
      <c r="ID7" s="106"/>
      <c r="IE7" s="106"/>
      <c r="IF7" s="106"/>
      <c r="IG7" s="106"/>
      <c r="IH7" s="106"/>
      <c r="II7" s="106"/>
      <c r="IJ7" s="106"/>
      <c r="IK7" s="106"/>
      <c r="IL7" s="106"/>
      <c r="IM7" s="106"/>
      <c r="IN7" s="106"/>
      <c r="IO7" s="106"/>
      <c r="IP7" s="106"/>
      <c r="IQ7" s="106"/>
      <c r="IR7" s="106"/>
      <c r="IS7" s="106"/>
    </row>
    <row r="8" spans="1:253" ht="15.75" x14ac:dyDescent="0.2">
      <c r="A8" s="131"/>
      <c r="B8" s="131"/>
      <c r="C8" s="131"/>
      <c r="D8" s="131"/>
      <c r="E8" s="131"/>
      <c r="F8" s="131"/>
      <c r="G8" s="131"/>
      <c r="I8" s="131"/>
      <c r="J8" s="131"/>
      <c r="K8" s="131"/>
      <c r="L8" s="131"/>
      <c r="M8" s="131"/>
      <c r="N8" s="131"/>
    </row>
    <row r="9" spans="1:253" ht="15.75" customHeight="1" x14ac:dyDescent="0.2">
      <c r="A9" s="447" t="s">
        <v>67</v>
      </c>
      <c r="B9" s="447"/>
      <c r="C9" s="447"/>
      <c r="D9" s="447"/>
      <c r="E9" s="447"/>
      <c r="F9" s="447"/>
      <c r="G9" s="447"/>
      <c r="H9" s="447"/>
      <c r="I9" s="447"/>
      <c r="J9" s="447"/>
      <c r="K9" s="186"/>
      <c r="L9" s="172"/>
      <c r="M9" s="186"/>
      <c r="N9" s="186"/>
    </row>
    <row r="10" spans="1:253" ht="15.75" customHeight="1" x14ac:dyDescent="0.2">
      <c r="A10" s="447" t="s">
        <v>200</v>
      </c>
      <c r="B10" s="447"/>
      <c r="C10" s="447"/>
      <c r="D10" s="447"/>
      <c r="E10" s="447"/>
      <c r="F10" s="447"/>
      <c r="G10" s="447"/>
      <c r="H10" s="447"/>
      <c r="I10" s="447"/>
      <c r="J10" s="447"/>
      <c r="K10" s="186"/>
      <c r="L10" s="172"/>
      <c r="M10" s="186"/>
      <c r="N10" s="186"/>
    </row>
    <row r="11" spans="1:253" ht="15" customHeight="1" x14ac:dyDescent="0.2">
      <c r="A11" s="455"/>
      <c r="B11" s="455"/>
      <c r="C11" s="455"/>
      <c r="D11" s="455"/>
      <c r="E11" s="455"/>
      <c r="F11" s="455"/>
      <c r="G11" s="455"/>
      <c r="H11" s="455"/>
      <c r="I11" s="131"/>
      <c r="J11" s="131"/>
      <c r="K11" s="131"/>
      <c r="L11" s="131"/>
      <c r="M11" s="131"/>
      <c r="N11" s="131"/>
    </row>
    <row r="12" spans="1:253" ht="44.25" customHeight="1" x14ac:dyDescent="0.2">
      <c r="A12" s="459" t="s">
        <v>68</v>
      </c>
      <c r="B12" s="459"/>
      <c r="C12" s="459"/>
      <c r="D12" s="459"/>
      <c r="E12" s="459"/>
      <c r="F12" s="459"/>
      <c r="G12" s="212"/>
      <c r="I12" s="131"/>
      <c r="J12" s="131"/>
      <c r="K12" s="131"/>
      <c r="L12" s="131"/>
      <c r="M12" s="131"/>
      <c r="N12" s="131"/>
    </row>
    <row r="13" spans="1:253" ht="66" customHeight="1" x14ac:dyDescent="0.2">
      <c r="A13" s="460" t="s">
        <v>201</v>
      </c>
      <c r="B13" s="460"/>
      <c r="C13" s="460"/>
      <c r="D13" s="460"/>
      <c r="E13" s="460"/>
      <c r="F13" s="460"/>
      <c r="G13" s="460"/>
      <c r="H13" s="460"/>
      <c r="I13" s="460"/>
      <c r="J13" s="460"/>
      <c r="K13" s="185"/>
      <c r="L13" s="171"/>
      <c r="M13" s="198">
        <v>0.01</v>
      </c>
      <c r="N13" s="198"/>
    </row>
    <row r="14" spans="1:253" ht="2.25" customHeight="1" x14ac:dyDescent="0.2">
      <c r="A14" s="461"/>
      <c r="B14" s="461"/>
      <c r="C14" s="461"/>
      <c r="D14" s="461"/>
      <c r="E14" s="461"/>
      <c r="F14" s="461"/>
      <c r="G14" s="188"/>
      <c r="H14" s="460"/>
      <c r="I14" s="460"/>
      <c r="J14" s="460"/>
      <c r="K14" s="460"/>
      <c r="L14" s="460"/>
      <c r="M14" s="213"/>
      <c r="N14" s="213"/>
    </row>
    <row r="15" spans="1:253" s="107" customFormat="1" ht="45" x14ac:dyDescent="0.2">
      <c r="A15" s="116" t="s">
        <v>161</v>
      </c>
      <c r="B15" s="149" t="s">
        <v>69</v>
      </c>
      <c r="C15" s="117" t="s">
        <v>117</v>
      </c>
      <c r="D15" s="118" t="s">
        <v>162</v>
      </c>
      <c r="E15" s="118" t="s">
        <v>140</v>
      </c>
      <c r="F15" s="118" t="s">
        <v>163</v>
      </c>
      <c r="G15" s="118" t="s">
        <v>141</v>
      </c>
      <c r="H15" s="118" t="s">
        <v>113</v>
      </c>
      <c r="I15" s="118" t="s">
        <v>114</v>
      </c>
      <c r="J15" s="118" t="s">
        <v>132</v>
      </c>
      <c r="K15" s="118" t="s">
        <v>191</v>
      </c>
      <c r="L15" s="125" t="s">
        <v>177</v>
      </c>
      <c r="M15" s="199" t="s">
        <v>197</v>
      </c>
      <c r="N15" s="200"/>
      <c r="O15" s="214" t="s">
        <v>142</v>
      </c>
    </row>
    <row r="16" spans="1:253" s="129" customFormat="1" ht="51" x14ac:dyDescent="0.2">
      <c r="A16" s="462"/>
      <c r="B16" s="126">
        <v>2</v>
      </c>
      <c r="C16" s="127" t="s">
        <v>173</v>
      </c>
      <c r="D16" s="127">
        <v>23647</v>
      </c>
      <c r="E16" s="145">
        <v>8</v>
      </c>
      <c r="F16" s="128">
        <f>E16*2</f>
        <v>16</v>
      </c>
      <c r="G16" s="135">
        <v>6768.52</v>
      </c>
      <c r="H16" s="135">
        <f>G16*2</f>
        <v>13537.04</v>
      </c>
      <c r="I16" s="135">
        <f t="shared" ref="I16:I17" si="0">H16*E16</f>
        <v>108296.32000000001</v>
      </c>
      <c r="J16" s="135">
        <f t="shared" ref="J16:J17" si="1">I16*12</f>
        <v>1299555.8400000001</v>
      </c>
      <c r="K16" s="135">
        <f>H16*E16*12</f>
        <v>1299555.8400000001</v>
      </c>
      <c r="L16" s="136">
        <f>K16/300</f>
        <v>4331.8528000000006</v>
      </c>
      <c r="M16" s="201">
        <v>1</v>
      </c>
      <c r="N16" s="195">
        <f>J16/8</f>
        <v>162444.48000000001</v>
      </c>
      <c r="O16" s="195">
        <v>1299579.52</v>
      </c>
      <c r="P16" s="216">
        <f>O16/8/12</f>
        <v>13537.286666666667</v>
      </c>
      <c r="Q16" s="144"/>
    </row>
    <row r="17" spans="1:262" s="129" customFormat="1" ht="51" x14ac:dyDescent="0.2">
      <c r="A17" s="462"/>
      <c r="B17" s="126">
        <v>4</v>
      </c>
      <c r="C17" s="127" t="s">
        <v>174</v>
      </c>
      <c r="D17" s="127">
        <v>23957</v>
      </c>
      <c r="E17" s="145">
        <v>7</v>
      </c>
      <c r="F17" s="128">
        <f>E17*2</f>
        <v>14</v>
      </c>
      <c r="G17" s="135">
        <v>7371.1</v>
      </c>
      <c r="H17" s="135">
        <f>G17*2</f>
        <v>14742.2</v>
      </c>
      <c r="I17" s="135">
        <f t="shared" si="0"/>
        <v>103195.40000000001</v>
      </c>
      <c r="J17" s="135">
        <f t="shared" si="1"/>
        <v>1238344.8</v>
      </c>
      <c r="K17" s="189">
        <f>H17*E17*12</f>
        <v>1238344.8</v>
      </c>
      <c r="L17" s="190">
        <f>K17/228</f>
        <v>5431.3368421052637</v>
      </c>
      <c r="M17" s="201">
        <v>2</v>
      </c>
      <c r="N17" s="195">
        <f>J17/7</f>
        <v>176906.4</v>
      </c>
      <c r="O17" s="195">
        <v>1238446.72</v>
      </c>
      <c r="P17" s="216">
        <f>O17/7/12</f>
        <v>14743.413333333332</v>
      </c>
      <c r="Q17" s="144">
        <f>O17*12</f>
        <v>14861360.640000001</v>
      </c>
    </row>
    <row r="18" spans="1:262" s="107" customFormat="1" ht="22.5" customHeight="1" x14ac:dyDescent="0.2">
      <c r="A18" s="463" t="s">
        <v>77</v>
      </c>
      <c r="B18" s="464"/>
      <c r="C18" s="464"/>
      <c r="D18" s="464"/>
      <c r="E18" s="205">
        <f>SUM(E16:E17)</f>
        <v>15</v>
      </c>
      <c r="F18" s="148">
        <f>SUM(F16:F17)</f>
        <v>30</v>
      </c>
      <c r="G18" s="174"/>
      <c r="H18" s="175"/>
      <c r="I18" s="175">
        <f>SUM(I16:I17)</f>
        <v>211491.72000000003</v>
      </c>
      <c r="J18" s="175">
        <f>SUM(J16:J17)</f>
        <v>2537900.64</v>
      </c>
      <c r="K18" s="183">
        <f>SUM(K16:K17)</f>
        <v>2537900.64</v>
      </c>
      <c r="L18" s="137">
        <f>SUM(L16:L17)</f>
        <v>9763.1896421052643</v>
      </c>
      <c r="M18" s="161"/>
      <c r="N18" s="161"/>
      <c r="O18" s="146">
        <f>SUM(O16:O17)</f>
        <v>2538026.2400000002</v>
      </c>
      <c r="P18" s="146"/>
      <c r="Q18" s="154">
        <f>O18*12</f>
        <v>30456314.880000003</v>
      </c>
      <c r="R18" s="153" t="s">
        <v>142</v>
      </c>
    </row>
    <row r="19" spans="1:262" s="107" customFormat="1" ht="15" customHeight="1" x14ac:dyDescent="0.2">
      <c r="A19" s="452"/>
      <c r="B19" s="453"/>
      <c r="C19" s="453"/>
      <c r="D19" s="453"/>
      <c r="E19" s="453"/>
      <c r="F19" s="453"/>
      <c r="G19" s="453"/>
      <c r="H19" s="453"/>
      <c r="I19" s="453"/>
      <c r="J19" s="453"/>
      <c r="K19" s="207"/>
      <c r="L19" s="206"/>
      <c r="M19" s="162"/>
      <c r="N19" s="162"/>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c r="BJ19" s="108"/>
      <c r="BK19" s="108"/>
      <c r="BL19" s="108"/>
      <c r="BM19" s="108"/>
      <c r="BN19" s="108"/>
      <c r="BO19" s="108"/>
      <c r="BP19" s="108"/>
      <c r="BQ19" s="108"/>
      <c r="BR19" s="108"/>
      <c r="BS19" s="108"/>
      <c r="BT19" s="108"/>
      <c r="BU19" s="108"/>
      <c r="BV19" s="108"/>
      <c r="BW19" s="108"/>
      <c r="BX19" s="108"/>
      <c r="BY19" s="108"/>
      <c r="BZ19" s="108"/>
      <c r="CA19" s="108"/>
      <c r="CB19" s="108"/>
      <c r="CC19" s="108"/>
      <c r="CD19" s="108"/>
      <c r="CE19" s="108"/>
      <c r="CF19" s="108"/>
      <c r="CG19" s="108"/>
      <c r="CH19" s="108"/>
      <c r="CI19" s="108"/>
      <c r="CJ19" s="108"/>
      <c r="CK19" s="108"/>
      <c r="CL19" s="108"/>
      <c r="CM19" s="108"/>
      <c r="CN19" s="108"/>
      <c r="CO19" s="108"/>
      <c r="CP19" s="108"/>
      <c r="CQ19" s="108"/>
      <c r="CR19" s="108"/>
      <c r="CS19" s="108"/>
      <c r="CT19" s="108"/>
      <c r="CU19" s="108"/>
      <c r="CV19" s="108"/>
      <c r="CW19" s="108"/>
      <c r="CX19" s="108"/>
      <c r="CY19" s="108"/>
      <c r="CZ19" s="108"/>
      <c r="DA19" s="108"/>
      <c r="DB19" s="108"/>
      <c r="DC19" s="108"/>
      <c r="DD19" s="108"/>
      <c r="DE19" s="108"/>
      <c r="DF19" s="108"/>
      <c r="DG19" s="108"/>
      <c r="DH19" s="108"/>
      <c r="DI19" s="108"/>
      <c r="DJ19" s="108"/>
      <c r="DK19" s="108"/>
      <c r="DL19" s="108"/>
      <c r="DM19" s="108"/>
      <c r="DN19" s="108"/>
      <c r="DO19" s="108"/>
      <c r="DP19" s="108"/>
      <c r="DQ19" s="108"/>
      <c r="DR19" s="108"/>
      <c r="DS19" s="108"/>
      <c r="DT19" s="108"/>
      <c r="DU19" s="108"/>
      <c r="DV19" s="108"/>
      <c r="DW19" s="108"/>
      <c r="DX19" s="108"/>
      <c r="DY19" s="108"/>
      <c r="DZ19" s="108"/>
      <c r="EA19" s="108"/>
      <c r="EB19" s="108"/>
      <c r="EC19" s="108"/>
      <c r="ED19" s="108"/>
      <c r="EE19" s="108"/>
      <c r="EF19" s="108"/>
      <c r="EG19" s="108"/>
      <c r="EH19" s="108"/>
      <c r="EI19" s="108"/>
      <c r="EJ19" s="108"/>
      <c r="EK19" s="108"/>
      <c r="EL19" s="108"/>
      <c r="EM19" s="108"/>
      <c r="EN19" s="108"/>
      <c r="EO19" s="108"/>
      <c r="EP19" s="108"/>
      <c r="EQ19" s="108"/>
      <c r="ER19" s="108"/>
      <c r="ES19" s="108"/>
      <c r="ET19" s="108"/>
      <c r="EU19" s="108"/>
      <c r="EV19" s="108"/>
      <c r="EW19" s="108"/>
      <c r="EX19" s="108"/>
      <c r="EY19" s="108"/>
      <c r="EZ19" s="108"/>
      <c r="FA19" s="108"/>
      <c r="FB19" s="108"/>
      <c r="FC19" s="108"/>
      <c r="FD19" s="108"/>
      <c r="FE19" s="108"/>
      <c r="FF19" s="108"/>
      <c r="FG19" s="108"/>
      <c r="FH19" s="108"/>
      <c r="FI19" s="108"/>
      <c r="FJ19" s="108"/>
      <c r="FK19" s="108"/>
      <c r="FL19" s="108"/>
      <c r="FM19" s="108"/>
      <c r="FN19" s="108"/>
      <c r="FO19" s="108"/>
      <c r="FP19" s="108"/>
      <c r="FQ19" s="108"/>
      <c r="FR19" s="108"/>
      <c r="FS19" s="108"/>
      <c r="FT19" s="108"/>
      <c r="FU19" s="108"/>
      <c r="FV19" s="108"/>
      <c r="FW19" s="108"/>
      <c r="FX19" s="108"/>
      <c r="FY19" s="108"/>
      <c r="FZ19" s="108"/>
      <c r="GA19" s="108"/>
      <c r="GB19" s="108"/>
      <c r="GC19" s="108"/>
      <c r="GD19" s="108"/>
      <c r="GE19" s="108"/>
      <c r="GF19" s="108"/>
      <c r="GG19" s="108"/>
      <c r="GH19" s="108"/>
      <c r="GI19" s="108"/>
      <c r="GJ19" s="108"/>
      <c r="GK19" s="108"/>
      <c r="GL19" s="108"/>
      <c r="GM19" s="108"/>
      <c r="GN19" s="108"/>
      <c r="GO19" s="108"/>
      <c r="GP19" s="108"/>
      <c r="GQ19" s="108"/>
      <c r="GR19" s="108"/>
      <c r="GS19" s="108"/>
      <c r="GT19" s="108"/>
      <c r="GU19" s="108"/>
      <c r="GV19" s="108"/>
      <c r="GW19" s="108"/>
      <c r="GX19" s="108"/>
      <c r="GY19" s="108"/>
      <c r="GZ19" s="108"/>
      <c r="HA19" s="108"/>
      <c r="HB19" s="108"/>
      <c r="HC19" s="108"/>
      <c r="HD19" s="108"/>
      <c r="HE19" s="108"/>
      <c r="HF19" s="108"/>
      <c r="HG19" s="108"/>
      <c r="HH19" s="108"/>
      <c r="HI19" s="108"/>
      <c r="HJ19" s="108"/>
      <c r="HK19" s="108"/>
      <c r="HL19" s="108"/>
      <c r="HM19" s="108"/>
      <c r="HN19" s="108"/>
      <c r="HO19" s="108"/>
      <c r="HP19" s="108"/>
      <c r="HQ19" s="108"/>
      <c r="HR19" s="108"/>
      <c r="HS19" s="108"/>
      <c r="HT19" s="108"/>
      <c r="HU19" s="108"/>
      <c r="HV19" s="108"/>
      <c r="HW19" s="108"/>
      <c r="HX19" s="108"/>
      <c r="HY19" s="108"/>
      <c r="HZ19" s="108"/>
      <c r="IA19" s="108"/>
      <c r="IB19" s="108"/>
      <c r="IC19" s="108"/>
      <c r="ID19" s="108"/>
      <c r="IE19" s="108"/>
      <c r="IF19" s="108"/>
      <c r="IG19" s="108"/>
      <c r="IH19" s="108"/>
      <c r="II19" s="108"/>
      <c r="IJ19" s="108"/>
      <c r="IK19" s="108"/>
      <c r="IL19" s="108"/>
      <c r="IM19" s="108"/>
      <c r="IN19" s="108"/>
      <c r="IO19" s="108"/>
      <c r="IP19" s="108"/>
      <c r="IQ19" s="108"/>
      <c r="IR19" s="108"/>
      <c r="IS19" s="108"/>
      <c r="IT19" s="108"/>
      <c r="IU19" s="108"/>
      <c r="IV19" s="108"/>
      <c r="IW19" s="108"/>
      <c r="IX19" s="108"/>
      <c r="IY19" s="108"/>
      <c r="IZ19" s="108"/>
      <c r="JA19" s="108"/>
      <c r="JB19" s="108"/>
    </row>
    <row r="20" spans="1:262" s="107" customFormat="1" ht="18" customHeight="1" x14ac:dyDescent="0.2">
      <c r="A20" s="465" t="s">
        <v>78</v>
      </c>
      <c r="B20" s="465"/>
      <c r="C20" s="465"/>
      <c r="D20" s="465"/>
      <c r="E20" s="465"/>
      <c r="F20" s="465"/>
      <c r="G20" s="465"/>
      <c r="H20" s="465"/>
      <c r="I20" s="465"/>
      <c r="J20" s="142">
        <f>I18</f>
        <v>211491.72000000003</v>
      </c>
      <c r="K20" s="142"/>
      <c r="L20" s="109">
        <f>I18</f>
        <v>211491.72000000003</v>
      </c>
      <c r="M20" s="163"/>
      <c r="N20" s="163"/>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8"/>
      <c r="BK20" s="108"/>
      <c r="BL20" s="108"/>
      <c r="BM20" s="108"/>
      <c r="BN20" s="108"/>
      <c r="BO20" s="108"/>
      <c r="BP20" s="108"/>
      <c r="BQ20" s="108"/>
      <c r="BR20" s="108"/>
      <c r="BS20" s="108"/>
      <c r="BT20" s="108"/>
      <c r="BU20" s="108"/>
      <c r="BV20" s="108"/>
      <c r="BW20" s="108"/>
      <c r="BX20" s="108"/>
      <c r="BY20" s="108"/>
      <c r="BZ20" s="108"/>
      <c r="CA20" s="108"/>
      <c r="CB20" s="108"/>
      <c r="CC20" s="108"/>
      <c r="CD20" s="108"/>
      <c r="CE20" s="108"/>
      <c r="CF20" s="108"/>
      <c r="CG20" s="108"/>
      <c r="CH20" s="108"/>
      <c r="CI20" s="108"/>
      <c r="CJ20" s="108"/>
      <c r="CK20" s="108"/>
      <c r="CL20" s="108"/>
      <c r="CM20" s="108"/>
      <c r="CN20" s="108"/>
      <c r="CO20" s="108"/>
      <c r="CP20" s="108"/>
      <c r="CQ20" s="108"/>
      <c r="CR20" s="108"/>
      <c r="CS20" s="108"/>
      <c r="CT20" s="108"/>
      <c r="CU20" s="108"/>
      <c r="CV20" s="108"/>
      <c r="CW20" s="108"/>
      <c r="CX20" s="108"/>
      <c r="CY20" s="108"/>
      <c r="CZ20" s="108"/>
      <c r="DA20" s="108"/>
      <c r="DB20" s="108"/>
      <c r="DC20" s="108"/>
      <c r="DD20" s="108"/>
      <c r="DE20" s="108"/>
      <c r="DF20" s="108"/>
      <c r="DG20" s="108"/>
      <c r="DH20" s="108"/>
      <c r="DI20" s="108"/>
      <c r="DJ20" s="108"/>
      <c r="DK20" s="108"/>
      <c r="DL20" s="108"/>
      <c r="DM20" s="108"/>
      <c r="DN20" s="108"/>
      <c r="DO20" s="108"/>
      <c r="DP20" s="108"/>
      <c r="DQ20" s="108"/>
      <c r="DR20" s="108"/>
      <c r="DS20" s="108"/>
      <c r="DT20" s="108"/>
      <c r="DU20" s="108"/>
      <c r="DV20" s="108"/>
      <c r="DW20" s="108"/>
      <c r="DX20" s="108"/>
      <c r="DY20" s="108"/>
      <c r="DZ20" s="108"/>
      <c r="EA20" s="108"/>
      <c r="EB20" s="108"/>
      <c r="EC20" s="108"/>
      <c r="ED20" s="108"/>
      <c r="EE20" s="108"/>
      <c r="EF20" s="108"/>
      <c r="EG20" s="108"/>
      <c r="EH20" s="108"/>
      <c r="EI20" s="108"/>
      <c r="EJ20" s="108"/>
      <c r="EK20" s="108"/>
      <c r="EL20" s="108"/>
      <c r="EM20" s="108"/>
      <c r="EN20" s="108"/>
      <c r="EO20" s="108"/>
      <c r="EP20" s="108"/>
      <c r="EQ20" s="108"/>
      <c r="ER20" s="108"/>
      <c r="ES20" s="108"/>
      <c r="ET20" s="108"/>
      <c r="EU20" s="108"/>
      <c r="EV20" s="108"/>
      <c r="EW20" s="108"/>
      <c r="EX20" s="108"/>
      <c r="EY20" s="108"/>
      <c r="EZ20" s="108"/>
      <c r="FA20" s="108"/>
      <c r="FB20" s="108"/>
      <c r="FC20" s="108"/>
      <c r="FD20" s="108"/>
      <c r="FE20" s="108"/>
      <c r="FF20" s="108"/>
      <c r="FG20" s="108"/>
      <c r="FH20" s="108"/>
      <c r="FI20" s="108"/>
      <c r="FJ20" s="108"/>
      <c r="FK20" s="108"/>
      <c r="FL20" s="108"/>
      <c r="FM20" s="108"/>
      <c r="FN20" s="108"/>
      <c r="FO20" s="108"/>
      <c r="FP20" s="108"/>
      <c r="FQ20" s="108"/>
      <c r="FR20" s="108"/>
      <c r="FS20" s="108"/>
      <c r="FT20" s="108"/>
      <c r="FU20" s="108"/>
      <c r="FV20" s="108"/>
      <c r="FW20" s="108"/>
      <c r="FX20" s="108"/>
      <c r="FY20" s="108"/>
      <c r="FZ20" s="108"/>
      <c r="GA20" s="108"/>
      <c r="GB20" s="108"/>
      <c r="GC20" s="108"/>
      <c r="GD20" s="108"/>
      <c r="GE20" s="108"/>
      <c r="GF20" s="108"/>
      <c r="GG20" s="108"/>
      <c r="GH20" s="108"/>
      <c r="GI20" s="108"/>
      <c r="GJ20" s="108"/>
      <c r="GK20" s="108"/>
      <c r="GL20" s="108"/>
      <c r="GM20" s="108"/>
      <c r="GN20" s="108"/>
      <c r="GO20" s="108"/>
      <c r="GP20" s="108"/>
      <c r="GQ20" s="108"/>
      <c r="GR20" s="108"/>
      <c r="GS20" s="108"/>
      <c r="GT20" s="108"/>
      <c r="GU20" s="108"/>
      <c r="GV20" s="108"/>
      <c r="GW20" s="108"/>
      <c r="GX20" s="108"/>
      <c r="GY20" s="108"/>
      <c r="GZ20" s="108"/>
      <c r="HA20" s="108"/>
      <c r="HB20" s="108"/>
      <c r="HC20" s="108"/>
      <c r="HD20" s="108"/>
      <c r="HE20" s="108"/>
      <c r="HF20" s="108"/>
      <c r="HG20" s="108"/>
      <c r="HH20" s="108"/>
      <c r="HI20" s="108"/>
      <c r="HJ20" s="108"/>
      <c r="HK20" s="108"/>
      <c r="HL20" s="108"/>
      <c r="HM20" s="108"/>
      <c r="HN20" s="108"/>
      <c r="HO20" s="108"/>
      <c r="HP20" s="108"/>
      <c r="HQ20" s="108"/>
      <c r="HR20" s="108"/>
      <c r="HS20" s="108"/>
      <c r="HT20" s="108"/>
      <c r="HU20" s="108"/>
      <c r="HV20" s="108"/>
      <c r="HW20" s="108"/>
      <c r="HX20" s="108"/>
      <c r="HY20" s="108"/>
      <c r="HZ20" s="108"/>
      <c r="IA20" s="108"/>
      <c r="IB20" s="108"/>
      <c r="IC20" s="108"/>
      <c r="ID20" s="108"/>
      <c r="IE20" s="108"/>
      <c r="IF20" s="108"/>
      <c r="IG20" s="108"/>
      <c r="IH20" s="108"/>
      <c r="II20" s="108"/>
      <c r="IJ20" s="108"/>
      <c r="IK20" s="108"/>
      <c r="IL20" s="108"/>
      <c r="IM20" s="108"/>
      <c r="IN20" s="108"/>
      <c r="IO20" s="108"/>
      <c r="IP20" s="108"/>
      <c r="IQ20" s="108"/>
      <c r="IR20" s="108"/>
      <c r="IS20" s="108"/>
      <c r="IT20" s="108"/>
      <c r="IU20" s="108"/>
      <c r="IV20" s="108"/>
      <c r="IW20" s="108"/>
      <c r="IX20" s="108"/>
      <c r="IY20" s="108"/>
      <c r="IZ20" s="108"/>
      <c r="JA20" s="108"/>
      <c r="JB20" s="108"/>
    </row>
    <row r="21" spans="1:262" s="107" customFormat="1" ht="15" customHeight="1" x14ac:dyDescent="0.2">
      <c r="A21" s="466" t="s">
        <v>203</v>
      </c>
      <c r="B21" s="467"/>
      <c r="C21" s="467"/>
      <c r="D21" s="467"/>
      <c r="E21" s="467"/>
      <c r="F21" s="467"/>
      <c r="G21" s="467"/>
      <c r="H21" s="467"/>
      <c r="I21" s="467"/>
      <c r="J21" s="467"/>
      <c r="K21" s="208"/>
      <c r="L21" s="169"/>
      <c r="M21" s="214"/>
      <c r="N21" s="214"/>
    </row>
    <row r="22" spans="1:262" s="107" customFormat="1" ht="5.25" customHeight="1" x14ac:dyDescent="0.2">
      <c r="A22" s="452"/>
      <c r="B22" s="453"/>
      <c r="C22" s="453"/>
      <c r="D22" s="453"/>
      <c r="E22" s="453"/>
      <c r="F22" s="453"/>
      <c r="G22" s="453"/>
      <c r="H22" s="453"/>
      <c r="I22" s="453"/>
      <c r="J22" s="454"/>
      <c r="K22" s="207"/>
      <c r="L22" s="206"/>
      <c r="M22" s="164"/>
      <c r="N22" s="164"/>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8"/>
      <c r="AQ22" s="108"/>
      <c r="AR22" s="108"/>
      <c r="AS22" s="108"/>
      <c r="AT22" s="108"/>
      <c r="AU22" s="108"/>
      <c r="AV22" s="108"/>
      <c r="AW22" s="108"/>
      <c r="AX22" s="108"/>
      <c r="AY22" s="108"/>
      <c r="AZ22" s="108"/>
      <c r="BA22" s="108"/>
      <c r="BB22" s="108"/>
      <c r="BC22" s="108"/>
      <c r="BD22" s="108"/>
      <c r="BE22" s="108"/>
      <c r="BF22" s="108"/>
      <c r="BG22" s="108"/>
      <c r="BH22" s="108"/>
      <c r="BI22" s="108"/>
      <c r="BJ22" s="108"/>
      <c r="BK22" s="108"/>
      <c r="BL22" s="108"/>
      <c r="BM22" s="108"/>
      <c r="BN22" s="108"/>
      <c r="BO22" s="108"/>
      <c r="BP22" s="108"/>
      <c r="BQ22" s="108"/>
      <c r="BR22" s="108"/>
      <c r="BS22" s="108"/>
      <c r="BT22" s="108"/>
      <c r="BU22" s="108"/>
      <c r="BV22" s="108"/>
      <c r="BW22" s="108"/>
      <c r="BX22" s="108"/>
      <c r="BY22" s="108"/>
      <c r="BZ22" s="108"/>
      <c r="CA22" s="108"/>
      <c r="CB22" s="108"/>
      <c r="CC22" s="108"/>
      <c r="CD22" s="108"/>
      <c r="CE22" s="108"/>
      <c r="CF22" s="108"/>
      <c r="CG22" s="108"/>
      <c r="CH22" s="108"/>
      <c r="CI22" s="108"/>
      <c r="CJ22" s="108"/>
      <c r="CK22" s="108"/>
      <c r="CL22" s="108"/>
      <c r="CM22" s="108"/>
      <c r="CN22" s="108"/>
      <c r="CO22" s="108"/>
      <c r="CP22" s="108"/>
      <c r="CQ22" s="108"/>
      <c r="CR22" s="108"/>
      <c r="CS22" s="108"/>
      <c r="CT22" s="108"/>
      <c r="CU22" s="108"/>
      <c r="CV22" s="108"/>
      <c r="CW22" s="108"/>
      <c r="CX22" s="108"/>
      <c r="CY22" s="108"/>
      <c r="CZ22" s="108"/>
      <c r="DA22" s="108"/>
      <c r="DB22" s="108"/>
      <c r="DC22" s="108"/>
      <c r="DD22" s="108"/>
      <c r="DE22" s="108"/>
      <c r="DF22" s="108"/>
      <c r="DG22" s="108"/>
      <c r="DH22" s="108"/>
      <c r="DI22" s="108"/>
      <c r="DJ22" s="108"/>
      <c r="DK22" s="108"/>
      <c r="DL22" s="108"/>
      <c r="DM22" s="108"/>
      <c r="DN22" s="108"/>
      <c r="DO22" s="108"/>
      <c r="DP22" s="108"/>
      <c r="DQ22" s="108"/>
      <c r="DR22" s="108"/>
      <c r="DS22" s="108"/>
      <c r="DT22" s="108"/>
      <c r="DU22" s="108"/>
      <c r="DV22" s="108"/>
      <c r="DW22" s="108"/>
      <c r="DX22" s="108"/>
      <c r="DY22" s="108"/>
      <c r="DZ22" s="108"/>
      <c r="EA22" s="108"/>
      <c r="EB22" s="108"/>
      <c r="EC22" s="108"/>
      <c r="ED22" s="108"/>
      <c r="EE22" s="108"/>
      <c r="EF22" s="108"/>
      <c r="EG22" s="108"/>
      <c r="EH22" s="108"/>
      <c r="EI22" s="108"/>
      <c r="EJ22" s="108"/>
      <c r="EK22" s="108"/>
      <c r="EL22" s="108"/>
      <c r="EM22" s="108"/>
      <c r="EN22" s="108"/>
      <c r="EO22" s="108"/>
      <c r="EP22" s="108"/>
      <c r="EQ22" s="108"/>
      <c r="ER22" s="108"/>
      <c r="ES22" s="108"/>
      <c r="ET22" s="108"/>
      <c r="EU22" s="108"/>
      <c r="EV22" s="108"/>
      <c r="EW22" s="108"/>
      <c r="EX22" s="108"/>
      <c r="EY22" s="108"/>
      <c r="EZ22" s="108"/>
      <c r="FA22" s="108"/>
      <c r="FB22" s="108"/>
      <c r="FC22" s="108"/>
      <c r="FD22" s="108"/>
      <c r="FE22" s="108"/>
      <c r="FF22" s="108"/>
      <c r="FG22" s="108"/>
      <c r="FH22" s="108"/>
      <c r="FI22" s="108"/>
      <c r="FJ22" s="108"/>
      <c r="FK22" s="108"/>
      <c r="FL22" s="108"/>
      <c r="FM22" s="108"/>
      <c r="FN22" s="108"/>
      <c r="FO22" s="108"/>
      <c r="FP22" s="108"/>
      <c r="FQ22" s="108"/>
      <c r="FR22" s="108"/>
      <c r="FS22" s="108"/>
      <c r="FT22" s="108"/>
      <c r="FU22" s="108"/>
      <c r="FV22" s="108"/>
      <c r="FW22" s="108"/>
      <c r="FX22" s="108"/>
      <c r="FY22" s="108"/>
      <c r="FZ22" s="108"/>
      <c r="GA22" s="108"/>
      <c r="GB22" s="108"/>
      <c r="GC22" s="108"/>
      <c r="GD22" s="108"/>
      <c r="GE22" s="108"/>
      <c r="GF22" s="108"/>
      <c r="GG22" s="108"/>
      <c r="GH22" s="108"/>
      <c r="GI22" s="108"/>
      <c r="GJ22" s="108"/>
      <c r="GK22" s="108"/>
      <c r="GL22" s="108"/>
      <c r="GM22" s="108"/>
      <c r="GN22" s="108"/>
      <c r="GO22" s="108"/>
      <c r="GP22" s="108"/>
      <c r="GQ22" s="108"/>
      <c r="GR22" s="108"/>
      <c r="GS22" s="108"/>
      <c r="GT22" s="108"/>
      <c r="GU22" s="108"/>
      <c r="GV22" s="108"/>
      <c r="GW22" s="108"/>
      <c r="GX22" s="108"/>
      <c r="GY22" s="108"/>
      <c r="GZ22" s="108"/>
      <c r="HA22" s="108"/>
      <c r="HB22" s="108"/>
      <c r="HC22" s="108"/>
      <c r="HD22" s="108"/>
      <c r="HE22" s="108"/>
      <c r="HF22" s="108"/>
      <c r="HG22" s="108"/>
      <c r="HH22" s="108"/>
      <c r="HI22" s="108"/>
      <c r="HJ22" s="108"/>
      <c r="HK22" s="108"/>
      <c r="HL22" s="108"/>
      <c r="HM22" s="108"/>
      <c r="HN22" s="108"/>
      <c r="HO22" s="108"/>
      <c r="HP22" s="108"/>
      <c r="HQ22" s="108"/>
      <c r="HR22" s="108"/>
      <c r="HS22" s="108"/>
      <c r="HT22" s="108"/>
      <c r="HU22" s="108"/>
      <c r="HV22" s="108"/>
      <c r="HW22" s="108"/>
      <c r="HX22" s="108"/>
      <c r="HY22" s="108"/>
      <c r="HZ22" s="108"/>
      <c r="IA22" s="108"/>
      <c r="IB22" s="108"/>
      <c r="IC22" s="108"/>
      <c r="ID22" s="108"/>
      <c r="IE22" s="108"/>
      <c r="IF22" s="108"/>
      <c r="IG22" s="108"/>
      <c r="IH22" s="108"/>
      <c r="II22" s="108"/>
      <c r="IJ22" s="108"/>
      <c r="IK22" s="108"/>
      <c r="IL22" s="108"/>
      <c r="IM22" s="108"/>
      <c r="IN22" s="108"/>
      <c r="IO22" s="108"/>
      <c r="IP22" s="108"/>
      <c r="IQ22" s="108"/>
      <c r="IR22" s="108"/>
      <c r="IS22" s="108"/>
      <c r="IT22" s="108"/>
      <c r="IU22" s="108"/>
      <c r="IV22" s="108"/>
      <c r="IW22" s="108"/>
      <c r="IX22" s="108"/>
      <c r="IY22" s="108"/>
      <c r="IZ22" s="108"/>
      <c r="JA22" s="108"/>
      <c r="JB22" s="108"/>
    </row>
    <row r="23" spans="1:262" s="107" customFormat="1" ht="19.5" customHeight="1" x14ac:dyDescent="0.2">
      <c r="A23" s="465" t="s">
        <v>79</v>
      </c>
      <c r="B23" s="465"/>
      <c r="C23" s="465"/>
      <c r="D23" s="465"/>
      <c r="E23" s="465"/>
      <c r="F23" s="465"/>
      <c r="G23" s="465"/>
      <c r="H23" s="465"/>
      <c r="I23" s="465"/>
      <c r="J23" s="210">
        <v>12</v>
      </c>
      <c r="K23" s="210"/>
      <c r="L23" s="110">
        <v>12</v>
      </c>
      <c r="M23" s="165"/>
      <c r="N23" s="165"/>
    </row>
    <row r="24" spans="1:262" s="107" customFormat="1" ht="5.25" customHeight="1" x14ac:dyDescent="0.2">
      <c r="A24" s="452"/>
      <c r="B24" s="453"/>
      <c r="C24" s="453"/>
      <c r="D24" s="453"/>
      <c r="E24" s="453"/>
      <c r="F24" s="453"/>
      <c r="G24" s="453"/>
      <c r="H24" s="453"/>
      <c r="I24" s="453"/>
      <c r="J24" s="454"/>
      <c r="K24" s="209"/>
      <c r="L24" s="170"/>
      <c r="M24" s="164"/>
      <c r="N24" s="164"/>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c r="BM24" s="108"/>
      <c r="BN24" s="108"/>
      <c r="BO24" s="108"/>
      <c r="BP24" s="108"/>
      <c r="BQ24" s="108"/>
      <c r="BR24" s="108"/>
      <c r="BS24" s="108"/>
      <c r="BT24" s="108"/>
      <c r="BU24" s="108"/>
      <c r="BV24" s="108"/>
      <c r="BW24" s="108"/>
      <c r="BX24" s="108"/>
      <c r="BY24" s="108"/>
      <c r="BZ24" s="108"/>
      <c r="CA24" s="108"/>
      <c r="CB24" s="108"/>
      <c r="CC24" s="108"/>
      <c r="CD24" s="108"/>
      <c r="CE24" s="108"/>
      <c r="CF24" s="108"/>
      <c r="CG24" s="108"/>
      <c r="CH24" s="108"/>
      <c r="CI24" s="108"/>
      <c r="CJ24" s="108"/>
      <c r="CK24" s="108"/>
      <c r="CL24" s="108"/>
      <c r="CM24" s="108"/>
      <c r="CN24" s="108"/>
      <c r="CO24" s="108"/>
      <c r="CP24" s="108"/>
      <c r="CQ24" s="108"/>
      <c r="CR24" s="108"/>
      <c r="CS24" s="108"/>
      <c r="CT24" s="108"/>
      <c r="CU24" s="108"/>
      <c r="CV24" s="108"/>
      <c r="CW24" s="108"/>
      <c r="CX24" s="108"/>
      <c r="CY24" s="108"/>
      <c r="CZ24" s="108"/>
      <c r="DA24" s="108"/>
      <c r="DB24" s="108"/>
      <c r="DC24" s="108"/>
      <c r="DD24" s="108"/>
      <c r="DE24" s="108"/>
      <c r="DF24" s="108"/>
      <c r="DG24" s="108"/>
      <c r="DH24" s="108"/>
      <c r="DI24" s="108"/>
      <c r="DJ24" s="108"/>
      <c r="DK24" s="108"/>
      <c r="DL24" s="108"/>
      <c r="DM24" s="108"/>
      <c r="DN24" s="108"/>
      <c r="DO24" s="108"/>
      <c r="DP24" s="108"/>
      <c r="DQ24" s="108"/>
      <c r="DR24" s="108"/>
      <c r="DS24" s="108"/>
      <c r="DT24" s="108"/>
      <c r="DU24" s="108"/>
      <c r="DV24" s="108"/>
      <c r="DW24" s="108"/>
      <c r="DX24" s="108"/>
      <c r="DY24" s="108"/>
      <c r="DZ24" s="108"/>
      <c r="EA24" s="108"/>
      <c r="EB24" s="108"/>
      <c r="EC24" s="108"/>
      <c r="ED24" s="108"/>
      <c r="EE24" s="108"/>
      <c r="EF24" s="108"/>
      <c r="EG24" s="108"/>
      <c r="EH24" s="108"/>
      <c r="EI24" s="108"/>
      <c r="EJ24" s="108"/>
      <c r="EK24" s="108"/>
      <c r="EL24" s="108"/>
      <c r="EM24" s="108"/>
      <c r="EN24" s="108"/>
      <c r="EO24" s="108"/>
      <c r="EP24" s="108"/>
      <c r="EQ24" s="108"/>
      <c r="ER24" s="108"/>
      <c r="ES24" s="108"/>
      <c r="ET24" s="108"/>
      <c r="EU24" s="108"/>
      <c r="EV24" s="108"/>
      <c r="EW24" s="108"/>
      <c r="EX24" s="108"/>
      <c r="EY24" s="108"/>
      <c r="EZ24" s="108"/>
      <c r="FA24" s="108"/>
      <c r="FB24" s="108"/>
      <c r="FC24" s="108"/>
      <c r="FD24" s="108"/>
      <c r="FE24" s="108"/>
      <c r="FF24" s="108"/>
      <c r="FG24" s="108"/>
      <c r="FH24" s="108"/>
      <c r="FI24" s="108"/>
      <c r="FJ24" s="108"/>
      <c r="FK24" s="108"/>
      <c r="FL24" s="108"/>
      <c r="FM24" s="108"/>
      <c r="FN24" s="108"/>
      <c r="FO24" s="108"/>
      <c r="FP24" s="108"/>
      <c r="FQ24" s="108"/>
      <c r="FR24" s="108"/>
      <c r="FS24" s="108"/>
      <c r="FT24" s="108"/>
      <c r="FU24" s="108"/>
      <c r="FV24" s="108"/>
      <c r="FW24" s="108"/>
      <c r="FX24" s="108"/>
      <c r="FY24" s="108"/>
      <c r="FZ24" s="108"/>
      <c r="GA24" s="108"/>
      <c r="GB24" s="108"/>
      <c r="GC24" s="108"/>
      <c r="GD24" s="108"/>
      <c r="GE24" s="108"/>
      <c r="GF24" s="108"/>
      <c r="GG24" s="108"/>
      <c r="GH24" s="108"/>
      <c r="GI24" s="108"/>
      <c r="GJ24" s="108"/>
      <c r="GK24" s="108"/>
      <c r="GL24" s="108"/>
      <c r="GM24" s="108"/>
      <c r="GN24" s="108"/>
      <c r="GO24" s="108"/>
      <c r="GP24" s="108"/>
      <c r="GQ24" s="108"/>
      <c r="GR24" s="108"/>
      <c r="GS24" s="108"/>
      <c r="GT24" s="108"/>
      <c r="GU24" s="108"/>
      <c r="GV24" s="108"/>
      <c r="GW24" s="108"/>
      <c r="GX24" s="108"/>
      <c r="GY24" s="108"/>
      <c r="GZ24" s="108"/>
      <c r="HA24" s="108"/>
      <c r="HB24" s="108"/>
      <c r="HC24" s="108"/>
      <c r="HD24" s="108"/>
      <c r="HE24" s="108"/>
      <c r="HF24" s="108"/>
      <c r="HG24" s="108"/>
      <c r="HH24" s="108"/>
      <c r="HI24" s="108"/>
      <c r="HJ24" s="108"/>
      <c r="HK24" s="108"/>
      <c r="HL24" s="108"/>
      <c r="HM24" s="108"/>
      <c r="HN24" s="108"/>
      <c r="HO24" s="108"/>
      <c r="HP24" s="108"/>
      <c r="HQ24" s="108"/>
      <c r="HR24" s="108"/>
      <c r="HS24" s="108"/>
      <c r="HT24" s="108"/>
      <c r="HU24" s="108"/>
      <c r="HV24" s="108"/>
      <c r="HW24" s="108"/>
      <c r="HX24" s="108"/>
      <c r="HY24" s="108"/>
      <c r="HZ24" s="108"/>
      <c r="IA24" s="108"/>
      <c r="IB24" s="108"/>
      <c r="IC24" s="108"/>
      <c r="ID24" s="108"/>
      <c r="IE24" s="108"/>
      <c r="IF24" s="108"/>
      <c r="IG24" s="108"/>
      <c r="IH24" s="108"/>
      <c r="II24" s="108"/>
      <c r="IJ24" s="108"/>
      <c r="IK24" s="108"/>
      <c r="IL24" s="108"/>
      <c r="IM24" s="108"/>
      <c r="IN24" s="108"/>
      <c r="IO24" s="108"/>
      <c r="IP24" s="108"/>
      <c r="IQ24" s="108"/>
      <c r="IR24" s="108"/>
      <c r="IS24" s="108"/>
      <c r="IT24" s="108"/>
      <c r="IU24" s="108"/>
      <c r="IV24" s="108"/>
      <c r="IW24" s="108"/>
      <c r="IX24" s="108"/>
      <c r="IY24" s="108"/>
      <c r="IZ24" s="108"/>
      <c r="JA24" s="108"/>
      <c r="JB24" s="108"/>
    </row>
    <row r="25" spans="1:262" s="107" customFormat="1" ht="15" customHeight="1" x14ac:dyDescent="0.2">
      <c r="A25" s="468" t="s">
        <v>131</v>
      </c>
      <c r="B25" s="468"/>
      <c r="C25" s="468"/>
      <c r="D25" s="468"/>
      <c r="E25" s="468"/>
      <c r="F25" s="468"/>
      <c r="G25" s="468"/>
      <c r="H25" s="468"/>
      <c r="I25" s="468"/>
      <c r="J25" s="143">
        <f>J18</f>
        <v>2537900.64</v>
      </c>
      <c r="K25" s="184"/>
      <c r="L25" s="176">
        <f>L23*L20</f>
        <v>2537900.6400000006</v>
      </c>
      <c r="M25" s="166"/>
      <c r="N25" s="166"/>
    </row>
    <row r="26" spans="1:262" s="107" customFormat="1" ht="15" customHeight="1" x14ac:dyDescent="0.2">
      <c r="A26" s="466" t="s">
        <v>204</v>
      </c>
      <c r="B26" s="467"/>
      <c r="C26" s="467"/>
      <c r="D26" s="467"/>
      <c r="E26" s="467"/>
      <c r="F26" s="467"/>
      <c r="G26" s="467"/>
      <c r="H26" s="467"/>
      <c r="I26" s="467"/>
      <c r="J26" s="469"/>
      <c r="K26" s="211"/>
      <c r="L26" s="169"/>
      <c r="M26" s="214"/>
      <c r="N26" s="214"/>
    </row>
    <row r="27" spans="1:262" ht="16.5" customHeight="1" x14ac:dyDescent="0.2">
      <c r="A27" s="456" t="s">
        <v>126</v>
      </c>
      <c r="B27" s="457"/>
      <c r="C27" s="457"/>
      <c r="D27" s="457"/>
      <c r="E27" s="457"/>
      <c r="F27" s="457"/>
      <c r="G27" s="457"/>
      <c r="H27" s="457"/>
      <c r="I27" s="457"/>
      <c r="J27" s="458"/>
      <c r="K27" s="215"/>
      <c r="L27" s="168"/>
      <c r="M27" s="215"/>
      <c r="N27" s="215"/>
    </row>
    <row r="28" spans="1:262" ht="21" customHeight="1" x14ac:dyDescent="0.2">
      <c r="A28" s="470" t="s">
        <v>138</v>
      </c>
      <c r="B28" s="470"/>
      <c r="C28" s="470"/>
      <c r="D28" s="470"/>
      <c r="E28" s="470"/>
      <c r="F28" s="470"/>
      <c r="G28" s="470"/>
      <c r="H28" s="168"/>
      <c r="I28" s="471" t="s">
        <v>134</v>
      </c>
      <c r="J28" s="471"/>
      <c r="K28" s="168"/>
      <c r="L28" s="168"/>
      <c r="M28" s="204"/>
      <c r="N28" s="204"/>
    </row>
    <row r="29" spans="1:262" ht="33.75" customHeight="1" x14ac:dyDescent="0.2">
      <c r="A29" s="472" t="s">
        <v>193</v>
      </c>
      <c r="B29" s="472"/>
      <c r="C29" s="472"/>
      <c r="D29" s="472"/>
      <c r="E29" s="472"/>
      <c r="F29" s="472"/>
      <c r="G29" s="472"/>
      <c r="H29" s="472" t="s">
        <v>179</v>
      </c>
      <c r="I29" s="472"/>
      <c r="J29" s="472"/>
      <c r="K29" s="168"/>
      <c r="L29" s="168"/>
      <c r="M29" s="204"/>
      <c r="N29" s="204"/>
    </row>
    <row r="30" spans="1:262" ht="18" customHeight="1" x14ac:dyDescent="0.2">
      <c r="A30" s="456" t="s">
        <v>127</v>
      </c>
      <c r="B30" s="457"/>
      <c r="C30" s="457"/>
      <c r="D30" s="457"/>
      <c r="E30" s="457"/>
      <c r="F30" s="457"/>
      <c r="G30" s="457"/>
      <c r="H30" s="457"/>
      <c r="I30" s="457"/>
      <c r="J30" s="458"/>
      <c r="K30" s="203"/>
      <c r="L30" s="167"/>
      <c r="M30" s="215"/>
      <c r="N30" s="215"/>
    </row>
    <row r="31" spans="1:262" ht="33.75" customHeight="1" x14ac:dyDescent="0.2">
      <c r="A31" s="456" t="s">
        <v>135</v>
      </c>
      <c r="B31" s="457"/>
      <c r="C31" s="457"/>
      <c r="D31" s="457"/>
      <c r="E31" s="457"/>
      <c r="F31" s="457"/>
      <c r="G31" s="457"/>
      <c r="H31" s="457"/>
      <c r="I31" s="457"/>
      <c r="J31" s="458"/>
      <c r="K31" s="215"/>
      <c r="L31" s="168"/>
      <c r="M31" s="215"/>
      <c r="N31" s="215"/>
    </row>
    <row r="32" spans="1:262" ht="18" customHeight="1" x14ac:dyDescent="0.2">
      <c r="A32" s="456" t="s">
        <v>133</v>
      </c>
      <c r="B32" s="457"/>
      <c r="C32" s="457"/>
      <c r="D32" s="457"/>
      <c r="E32" s="457"/>
      <c r="F32" s="457"/>
      <c r="G32" s="457"/>
      <c r="H32" s="457"/>
      <c r="I32" s="457"/>
      <c r="J32" s="458"/>
      <c r="K32" s="215"/>
      <c r="L32" s="168"/>
      <c r="M32" s="215"/>
      <c r="N32" s="215"/>
    </row>
    <row r="33" spans="1:14" ht="17.100000000000001" customHeight="1" x14ac:dyDescent="0.2">
      <c r="A33" s="472" t="s">
        <v>192</v>
      </c>
      <c r="B33" s="472"/>
      <c r="C33" s="472"/>
      <c r="D33" s="472"/>
      <c r="E33" s="472"/>
      <c r="F33" s="472"/>
      <c r="G33" s="472"/>
      <c r="H33" s="472"/>
      <c r="I33" s="472"/>
    </row>
    <row r="34" spans="1:14" ht="17.100000000000001" customHeight="1" x14ac:dyDescent="0.2">
      <c r="A34" s="472" t="s">
        <v>180</v>
      </c>
      <c r="B34" s="472"/>
      <c r="C34" s="472"/>
      <c r="D34" s="472"/>
      <c r="E34" s="472"/>
      <c r="F34" s="472"/>
      <c r="G34" s="472"/>
      <c r="H34" s="472"/>
      <c r="I34" s="472"/>
    </row>
    <row r="35" spans="1:14" ht="17.100000000000001" customHeight="1" x14ac:dyDescent="0.25">
      <c r="A35" s="472" t="s">
        <v>181</v>
      </c>
      <c r="B35" s="472"/>
      <c r="C35" s="472"/>
      <c r="D35" s="472"/>
      <c r="E35" s="473" t="s">
        <v>182</v>
      </c>
      <c r="F35" s="473"/>
      <c r="G35" s="473"/>
      <c r="H35" s="473"/>
      <c r="I35" s="473"/>
      <c r="J35" s="473"/>
    </row>
    <row r="36" spans="1:14" ht="17.100000000000001" customHeight="1" x14ac:dyDescent="0.25">
      <c r="A36" s="472" t="s">
        <v>136</v>
      </c>
      <c r="B36" s="472"/>
      <c r="C36" s="472"/>
      <c r="D36" s="472"/>
      <c r="E36" s="473" t="s">
        <v>183</v>
      </c>
      <c r="F36" s="473"/>
      <c r="G36" s="473"/>
      <c r="H36" s="473"/>
      <c r="I36" s="473"/>
      <c r="J36" s="473"/>
    </row>
    <row r="37" spans="1:14" ht="17.100000000000001" customHeight="1" x14ac:dyDescent="0.25">
      <c r="A37" s="472" t="s">
        <v>184</v>
      </c>
      <c r="B37" s="472"/>
      <c r="C37" s="472"/>
      <c r="D37" s="472"/>
      <c r="E37" s="473" t="s">
        <v>185</v>
      </c>
      <c r="F37" s="473"/>
      <c r="G37" s="473"/>
      <c r="H37" s="473"/>
      <c r="I37" s="473"/>
      <c r="J37" s="473"/>
    </row>
    <row r="38" spans="1:14" ht="17.100000000000001" customHeight="1" x14ac:dyDescent="0.25">
      <c r="A38" s="472" t="s">
        <v>137</v>
      </c>
      <c r="B38" s="472"/>
      <c r="C38" s="472"/>
      <c r="D38" s="472"/>
      <c r="E38" s="479" t="s">
        <v>186</v>
      </c>
      <c r="F38" s="479"/>
      <c r="G38" s="479"/>
      <c r="H38" s="479"/>
      <c r="I38" s="479"/>
      <c r="J38" s="479"/>
    </row>
    <row r="39" spans="1:14" ht="33.75" customHeight="1" x14ac:dyDescent="0.2">
      <c r="A39" s="480" t="s">
        <v>125</v>
      </c>
      <c r="B39" s="471"/>
      <c r="C39" s="471"/>
      <c r="D39" s="471"/>
      <c r="E39" s="471"/>
      <c r="F39" s="471"/>
      <c r="G39" s="471"/>
      <c r="H39" s="471"/>
      <c r="I39" s="471"/>
      <c r="J39" s="481"/>
      <c r="K39" s="215"/>
      <c r="L39" s="168"/>
      <c r="M39" s="215"/>
      <c r="N39" s="215"/>
    </row>
    <row r="40" spans="1:14" ht="48" customHeight="1" x14ac:dyDescent="0.2">
      <c r="A40" s="482" t="s">
        <v>171</v>
      </c>
      <c r="B40" s="483"/>
      <c r="C40" s="483"/>
      <c r="D40" s="483"/>
      <c r="E40" s="483"/>
      <c r="F40" s="483"/>
      <c r="G40" s="483"/>
      <c r="H40" s="483"/>
      <c r="I40" s="483"/>
      <c r="J40" s="484"/>
      <c r="K40" s="202"/>
      <c r="L40" s="168"/>
      <c r="M40" s="159"/>
      <c r="N40" s="159"/>
    </row>
    <row r="41" spans="1:14" ht="33.75" customHeight="1" x14ac:dyDescent="0.2">
      <c r="A41" s="474" t="s">
        <v>143</v>
      </c>
      <c r="B41" s="475"/>
      <c r="C41" s="475"/>
      <c r="D41" s="475"/>
      <c r="E41" s="475"/>
      <c r="F41" s="475"/>
      <c r="G41" s="475"/>
      <c r="H41" s="475"/>
      <c r="I41" s="475"/>
      <c r="J41" s="476"/>
      <c r="K41" s="202"/>
      <c r="L41" s="131"/>
      <c r="M41" s="159"/>
      <c r="N41" s="159"/>
    </row>
    <row r="42" spans="1:14" ht="18.75" customHeight="1" x14ac:dyDescent="0.2">
      <c r="A42" s="474" t="s">
        <v>202</v>
      </c>
      <c r="B42" s="475"/>
      <c r="C42" s="475"/>
      <c r="D42" s="475"/>
      <c r="E42" s="475"/>
      <c r="F42" s="475"/>
      <c r="G42" s="475"/>
      <c r="H42" s="475"/>
      <c r="I42" s="475"/>
      <c r="J42" s="476"/>
      <c r="K42" s="202"/>
      <c r="L42" s="131"/>
      <c r="M42" s="131"/>
      <c r="N42" s="131"/>
    </row>
    <row r="43" spans="1:14" ht="19.5" customHeight="1" x14ac:dyDescent="0.2">
      <c r="A43" s="474" t="s">
        <v>168</v>
      </c>
      <c r="B43" s="475"/>
      <c r="C43" s="475"/>
      <c r="D43" s="475"/>
      <c r="E43" s="475"/>
      <c r="F43" s="475"/>
      <c r="G43" s="475"/>
      <c r="H43" s="475"/>
      <c r="I43" s="475"/>
      <c r="J43" s="476"/>
      <c r="K43" s="202"/>
      <c r="L43" s="131"/>
      <c r="M43" s="131"/>
      <c r="N43" s="131"/>
    </row>
    <row r="44" spans="1:14" ht="24" customHeight="1" x14ac:dyDescent="0.2">
      <c r="A44" s="474" t="s">
        <v>169</v>
      </c>
      <c r="B44" s="475"/>
      <c r="C44" s="475"/>
      <c r="D44" s="475"/>
      <c r="E44" s="475"/>
      <c r="F44" s="475"/>
      <c r="G44" s="475"/>
      <c r="H44" s="475"/>
      <c r="I44" s="475"/>
      <c r="J44" s="476"/>
      <c r="K44" s="202"/>
      <c r="L44" s="177"/>
      <c r="M44" s="159"/>
      <c r="N44" s="159"/>
    </row>
    <row r="45" spans="1:14" ht="15.75" x14ac:dyDescent="0.2">
      <c r="A45" s="477"/>
      <c r="B45" s="461"/>
      <c r="C45" s="461"/>
      <c r="D45" s="461"/>
      <c r="E45" s="461"/>
      <c r="F45" s="461"/>
      <c r="G45" s="188"/>
      <c r="I45" s="131"/>
      <c r="J45" s="178"/>
      <c r="K45" s="131"/>
      <c r="L45" s="131"/>
      <c r="M45" s="131"/>
      <c r="N45" s="131"/>
    </row>
    <row r="46" spans="1:14" ht="15.75" x14ac:dyDescent="0.2">
      <c r="A46" s="478"/>
      <c r="B46" s="455"/>
      <c r="C46" s="455"/>
      <c r="D46" s="455"/>
      <c r="E46" s="455"/>
      <c r="F46" s="455"/>
      <c r="G46" s="455"/>
      <c r="H46" s="455"/>
      <c r="I46" s="131"/>
      <c r="J46" s="178"/>
      <c r="K46" s="131"/>
      <c r="L46" s="131"/>
      <c r="M46" s="131"/>
      <c r="N46" s="131"/>
    </row>
    <row r="47" spans="1:14" ht="15.75" x14ac:dyDescent="0.2">
      <c r="A47" s="478"/>
      <c r="B47" s="455"/>
      <c r="C47" s="455"/>
      <c r="D47" s="455"/>
      <c r="E47" s="455"/>
      <c r="F47" s="455"/>
      <c r="G47" s="455"/>
      <c r="H47" s="455"/>
      <c r="I47" s="131"/>
      <c r="J47" s="178"/>
      <c r="K47" s="131"/>
      <c r="L47" s="131"/>
      <c r="M47" s="131"/>
      <c r="N47" s="131"/>
    </row>
    <row r="48" spans="1:14" ht="15.75" x14ac:dyDescent="0.2">
      <c r="A48" s="478"/>
      <c r="B48" s="455"/>
      <c r="C48" s="455"/>
      <c r="D48" s="455"/>
      <c r="E48" s="455"/>
      <c r="F48" s="455"/>
      <c r="G48" s="455"/>
      <c r="H48" s="455"/>
      <c r="I48" s="131"/>
      <c r="J48" s="178"/>
      <c r="K48" s="131"/>
      <c r="L48" s="131"/>
      <c r="M48" s="131"/>
      <c r="N48" s="131"/>
    </row>
    <row r="49" spans="1:14" ht="15.75" x14ac:dyDescent="0.2">
      <c r="A49" s="478"/>
      <c r="B49" s="455"/>
      <c r="C49" s="455"/>
      <c r="D49" s="455"/>
      <c r="E49" s="455"/>
      <c r="F49" s="455"/>
      <c r="G49" s="455"/>
      <c r="H49" s="455"/>
      <c r="I49" s="131"/>
      <c r="J49" s="178"/>
      <c r="K49" s="131"/>
      <c r="L49" s="131"/>
      <c r="M49" s="131"/>
      <c r="N49" s="131"/>
    </row>
    <row r="50" spans="1:14" ht="15.75" x14ac:dyDescent="0.2">
      <c r="A50" s="179"/>
      <c r="B50" s="180"/>
      <c r="C50" s="180"/>
      <c r="D50" s="180"/>
      <c r="E50" s="180"/>
      <c r="F50" s="180"/>
      <c r="G50" s="180"/>
      <c r="H50" s="181"/>
      <c r="I50" s="180"/>
      <c r="J50" s="182"/>
      <c r="K50" s="131"/>
      <c r="L50" s="131"/>
      <c r="M50" s="131"/>
      <c r="N50" s="131"/>
    </row>
    <row r="51" spans="1:14" ht="15.75" x14ac:dyDescent="0.2">
      <c r="A51" s="131"/>
      <c r="B51" s="131"/>
      <c r="C51" s="131"/>
      <c r="D51" s="131"/>
      <c r="E51" s="131"/>
      <c r="F51" s="131"/>
      <c r="G51" s="131"/>
      <c r="H51" s="131"/>
      <c r="I51" s="131"/>
      <c r="J51" s="131"/>
      <c r="K51" s="131"/>
      <c r="L51" s="131"/>
      <c r="M51" s="131"/>
      <c r="N51" s="131"/>
    </row>
  </sheetData>
  <mergeCells count="47">
    <mergeCell ref="A43:J43"/>
    <mergeCell ref="A44:J44"/>
    <mergeCell ref="A45:F45"/>
    <mergeCell ref="A46:H49"/>
    <mergeCell ref="A38:D38"/>
    <mergeCell ref="E38:J38"/>
    <mergeCell ref="A39:J39"/>
    <mergeCell ref="A40:J40"/>
    <mergeCell ref="A41:J41"/>
    <mergeCell ref="A42:J42"/>
    <mergeCell ref="A28:G28"/>
    <mergeCell ref="I28:J28"/>
    <mergeCell ref="A37:D37"/>
    <mergeCell ref="E37:J37"/>
    <mergeCell ref="A29:G29"/>
    <mergeCell ref="H29:J29"/>
    <mergeCell ref="A30:J30"/>
    <mergeCell ref="A31:J31"/>
    <mergeCell ref="A32:J32"/>
    <mergeCell ref="A33:I33"/>
    <mergeCell ref="A34:I34"/>
    <mergeCell ref="A35:D35"/>
    <mergeCell ref="E35:J35"/>
    <mergeCell ref="A36:D36"/>
    <mergeCell ref="E36:J36"/>
    <mergeCell ref="A22:J22"/>
    <mergeCell ref="A11:H11"/>
    <mergeCell ref="A27:J27"/>
    <mergeCell ref="A12:F12"/>
    <mergeCell ref="A13:J13"/>
    <mergeCell ref="A14:F14"/>
    <mergeCell ref="H14:L14"/>
    <mergeCell ref="A16:A17"/>
    <mergeCell ref="A18:D18"/>
    <mergeCell ref="A19:J19"/>
    <mergeCell ref="A20:I20"/>
    <mergeCell ref="A21:J21"/>
    <mergeCell ref="A23:I23"/>
    <mergeCell ref="A24:J24"/>
    <mergeCell ref="A25:I25"/>
    <mergeCell ref="A26:J26"/>
    <mergeCell ref="A10:J10"/>
    <mergeCell ref="C2:J2"/>
    <mergeCell ref="A5:H5"/>
    <mergeCell ref="A6:H6"/>
    <mergeCell ref="A7:H7"/>
    <mergeCell ref="A9:J9"/>
  </mergeCells>
  <printOptions horizontalCentered="1" verticalCentered="1"/>
  <pageMargins left="0.51181102362204722" right="0.51181102362204722" top="0.78740157480314965" bottom="0.78740157480314965" header="0.31496062992125984" footer="0.31496062992125984"/>
  <pageSetup paperSize="9" scale="57" orientation="portrait" horizontalDpi="360" verticalDpi="36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25"/>
  <sheetViews>
    <sheetView showGridLines="0" view="pageBreakPreview" topLeftCell="A58" zoomScale="98" zoomScaleNormal="100" zoomScaleSheetLayoutView="98" workbookViewId="0">
      <selection activeCell="D56" sqref="D56"/>
    </sheetView>
  </sheetViews>
  <sheetFormatPr defaultRowHeight="12.75" x14ac:dyDescent="0.25"/>
  <cols>
    <col min="1" max="1" width="92.7109375" style="37" customWidth="1"/>
    <col min="2" max="2" width="15.28515625" style="41" customWidth="1"/>
    <col min="3" max="4" width="23.7109375" style="41" customWidth="1"/>
    <col min="5" max="5" width="18.42578125" style="37" customWidth="1"/>
    <col min="6" max="6" width="12.28515625" style="37" customWidth="1"/>
    <col min="7" max="16384" width="9.140625" style="37"/>
  </cols>
  <sheetData>
    <row r="1" spans="1:5" s="43" customFormat="1" ht="27" customHeight="1" x14ac:dyDescent="0.25">
      <c r="A1" s="535" t="s">
        <v>230</v>
      </c>
      <c r="B1" s="535"/>
      <c r="C1" s="535"/>
      <c r="D1" s="42"/>
      <c r="E1" s="42"/>
    </row>
    <row r="2" spans="1:5" s="43" customFormat="1" ht="31.5" customHeight="1" x14ac:dyDescent="0.25">
      <c r="A2" s="536" t="s">
        <v>101</v>
      </c>
      <c r="B2" s="536"/>
      <c r="C2" s="536"/>
    </row>
    <row r="3" spans="1:5" s="43" customFormat="1" ht="15.75" customHeight="1" x14ac:dyDescent="0.25">
      <c r="A3" s="44" t="s">
        <v>479</v>
      </c>
      <c r="B3" s="44"/>
      <c r="C3" s="44"/>
      <c r="D3" s="44"/>
    </row>
    <row r="4" spans="1:5" s="43" customFormat="1" ht="15.75" customHeight="1" x14ac:dyDescent="0.25">
      <c r="A4" s="44" t="s">
        <v>481</v>
      </c>
      <c r="B4" s="44"/>
      <c r="C4" s="44"/>
      <c r="D4" s="44"/>
    </row>
    <row r="5" spans="1:5" s="43" customFormat="1" ht="14.85" customHeight="1" x14ac:dyDescent="0.25">
      <c r="A5" s="537"/>
      <c r="B5" s="537"/>
      <c r="C5" s="537"/>
    </row>
    <row r="6" spans="1:5" s="43" customFormat="1" ht="20.25" customHeight="1" x14ac:dyDescent="0.25">
      <c r="A6" s="538" t="s">
        <v>80</v>
      </c>
      <c r="B6" s="538"/>
      <c r="C6" s="538"/>
    </row>
    <row r="7" spans="1:5" s="43" customFormat="1" ht="15.75" customHeight="1" x14ac:dyDescent="0.25">
      <c r="A7" s="44" t="s">
        <v>81</v>
      </c>
      <c r="B7" s="539"/>
      <c r="C7" s="539"/>
    </row>
    <row r="8" spans="1:5" s="43" customFormat="1" ht="15.75" customHeight="1" x14ac:dyDescent="0.25">
      <c r="A8" s="44" t="s">
        <v>82</v>
      </c>
      <c r="B8" s="540" t="s">
        <v>2</v>
      </c>
      <c r="C8" s="540"/>
    </row>
    <row r="9" spans="1:5" s="43" customFormat="1" ht="20.100000000000001" customHeight="1" x14ac:dyDescent="0.25">
      <c r="A9" s="44" t="s">
        <v>83</v>
      </c>
      <c r="B9" s="541" t="s">
        <v>565</v>
      </c>
      <c r="C9" s="541"/>
    </row>
    <row r="10" spans="1:5" s="43" customFormat="1" ht="15.75" customHeight="1" x14ac:dyDescent="0.25">
      <c r="A10" s="44" t="s">
        <v>84</v>
      </c>
      <c r="B10" s="541" t="s">
        <v>85</v>
      </c>
      <c r="C10" s="541"/>
    </row>
    <row r="11" spans="1:5" s="43" customFormat="1" ht="21.2" customHeight="1" x14ac:dyDescent="0.25">
      <c r="A11" s="44" t="s">
        <v>86</v>
      </c>
      <c r="B11" s="44"/>
      <c r="C11" s="44"/>
      <c r="D11" s="44"/>
    </row>
    <row r="12" spans="1:5" s="43" customFormat="1" ht="47.25" customHeight="1" x14ac:dyDescent="0.25">
      <c r="A12" s="84" t="s">
        <v>92</v>
      </c>
      <c r="B12" s="84" t="s">
        <v>87</v>
      </c>
      <c r="C12" s="84" t="s">
        <v>88</v>
      </c>
      <c r="D12" s="84" t="s">
        <v>88</v>
      </c>
    </row>
    <row r="13" spans="1:5" s="43" customFormat="1" ht="36" customHeight="1" x14ac:dyDescent="0.25">
      <c r="A13" s="45" t="str">
        <f>A1</f>
        <v>Posto de Vigilância Desarmada DIURNA 44hs - 2a. a Sexta Feira</v>
      </c>
      <c r="B13" s="140" t="s">
        <v>89</v>
      </c>
      <c r="C13" s="85">
        <v>2</v>
      </c>
      <c r="D13" s="85">
        <v>2</v>
      </c>
    </row>
    <row r="14" spans="1:5" s="43" customFormat="1" ht="18.75" customHeight="1" x14ac:dyDescent="0.25">
      <c r="A14" s="538" t="s">
        <v>90</v>
      </c>
      <c r="B14" s="538"/>
      <c r="C14" s="85">
        <f>SUM(C13)</f>
        <v>2</v>
      </c>
      <c r="D14" s="85">
        <f>SUM(D13)</f>
        <v>2</v>
      </c>
    </row>
    <row r="15" spans="1:5" s="43" customFormat="1" ht="18" customHeight="1" x14ac:dyDescent="0.25">
      <c r="A15" s="542"/>
      <c r="B15" s="543"/>
      <c r="C15" s="544"/>
    </row>
    <row r="16" spans="1:5" x14ac:dyDescent="0.25">
      <c r="A16" s="545" t="s">
        <v>93</v>
      </c>
      <c r="B16" s="545"/>
      <c r="C16" s="545"/>
      <c r="D16" s="37"/>
    </row>
    <row r="17" spans="1:9" x14ac:dyDescent="0.25">
      <c r="A17" s="534" t="s">
        <v>94</v>
      </c>
      <c r="B17" s="534"/>
      <c r="C17" s="534"/>
      <c r="D17" s="37"/>
    </row>
    <row r="18" spans="1:9" s="38" customFormat="1" x14ac:dyDescent="0.2">
      <c r="A18" s="49" t="s">
        <v>3</v>
      </c>
      <c r="B18" s="432"/>
      <c r="C18" s="432" t="s">
        <v>208</v>
      </c>
      <c r="D18" s="432" t="s">
        <v>208</v>
      </c>
    </row>
    <row r="19" spans="1:9" s="38" customFormat="1" x14ac:dyDescent="0.2">
      <c r="A19" s="49" t="s">
        <v>96</v>
      </c>
      <c r="B19" s="433"/>
      <c r="C19" s="433" t="s">
        <v>120</v>
      </c>
      <c r="D19" s="433" t="s">
        <v>120</v>
      </c>
    </row>
    <row r="20" spans="1:9" s="38" customFormat="1" x14ac:dyDescent="0.2">
      <c r="A20" s="49" t="s">
        <v>97</v>
      </c>
      <c r="B20" s="434"/>
      <c r="C20" s="434">
        <f>'44HS DA'!C20</f>
        <v>2593.73</v>
      </c>
      <c r="D20" s="434">
        <f>'44HS DA'!D26</f>
        <v>2723.41</v>
      </c>
    </row>
    <row r="21" spans="1:9" s="38" customFormat="1" x14ac:dyDescent="0.2">
      <c r="A21" s="49" t="s">
        <v>98</v>
      </c>
      <c r="B21" s="435"/>
      <c r="C21" s="435" t="s">
        <v>100</v>
      </c>
      <c r="D21" s="435" t="s">
        <v>100</v>
      </c>
    </row>
    <row r="22" spans="1:9" s="38" customFormat="1" x14ac:dyDescent="0.2">
      <c r="A22" s="49" t="s">
        <v>99</v>
      </c>
      <c r="B22" s="436"/>
      <c r="C22" s="436">
        <v>44927</v>
      </c>
      <c r="D22" s="436">
        <v>44927</v>
      </c>
    </row>
    <row r="23" spans="1:9" s="36" customFormat="1" ht="3" customHeight="1" x14ac:dyDescent="0.25">
      <c r="A23" s="546"/>
      <c r="B23" s="547"/>
      <c r="C23" s="548"/>
      <c r="D23" s="87"/>
      <c r="E23" s="87"/>
      <c r="F23" s="87"/>
      <c r="G23" s="87"/>
      <c r="H23" s="87"/>
      <c r="I23" s="87"/>
    </row>
    <row r="24" spans="1:9" x14ac:dyDescent="0.25">
      <c r="A24" s="50" t="s">
        <v>4</v>
      </c>
      <c r="B24" s="51"/>
      <c r="C24" s="52"/>
      <c r="D24" s="52"/>
    </row>
    <row r="25" spans="1:9" x14ac:dyDescent="0.25">
      <c r="A25" s="53" t="s">
        <v>5</v>
      </c>
      <c r="B25" s="54"/>
      <c r="C25" s="55" t="s">
        <v>6</v>
      </c>
      <c r="D25" s="55" t="s">
        <v>6</v>
      </c>
    </row>
    <row r="26" spans="1:9" x14ac:dyDescent="0.25">
      <c r="A26" s="46" t="s">
        <v>7</v>
      </c>
      <c r="B26" s="47">
        <v>1</v>
      </c>
      <c r="C26" s="48">
        <f>C20</f>
        <v>2593.73</v>
      </c>
      <c r="D26" s="48">
        <f>D20</f>
        <v>2723.41</v>
      </c>
    </row>
    <row r="27" spans="1:9" x14ac:dyDescent="0.25">
      <c r="A27" s="46" t="s">
        <v>8</v>
      </c>
      <c r="B27" s="47">
        <v>0.3</v>
      </c>
      <c r="C27" s="48">
        <f>(C26*30%)</f>
        <v>778.11900000000003</v>
      </c>
      <c r="D27" s="48">
        <f>(D26*30%)</f>
        <v>817.02299999999991</v>
      </c>
    </row>
    <row r="28" spans="1:9" x14ac:dyDescent="0.25">
      <c r="A28" s="46" t="s">
        <v>9</v>
      </c>
      <c r="B28" s="47"/>
      <c r="C28" s="48"/>
      <c r="D28" s="48"/>
    </row>
    <row r="29" spans="1:9" x14ac:dyDescent="0.25">
      <c r="A29" s="46" t="s">
        <v>164</v>
      </c>
      <c r="B29" s="47"/>
      <c r="C29" s="48"/>
      <c r="D29" s="48"/>
    </row>
    <row r="30" spans="1:9" x14ac:dyDescent="0.25">
      <c r="A30" s="46" t="s">
        <v>165</v>
      </c>
      <c r="B30" s="47"/>
      <c r="C30" s="48"/>
      <c r="D30" s="48"/>
    </row>
    <row r="31" spans="1:9" x14ac:dyDescent="0.25">
      <c r="A31" s="46" t="s">
        <v>57</v>
      </c>
      <c r="B31" s="47"/>
      <c r="C31" s="48">
        <v>0</v>
      </c>
      <c r="D31" s="48">
        <v>0</v>
      </c>
    </row>
    <row r="32" spans="1:9" s="38" customFormat="1" x14ac:dyDescent="0.25">
      <c r="A32" s="79" t="s">
        <v>71</v>
      </c>
      <c r="B32" s="47">
        <f>C32/C26</f>
        <v>0</v>
      </c>
      <c r="C32" s="81"/>
      <c r="D32" s="81"/>
    </row>
    <row r="33" spans="1:9" x14ac:dyDescent="0.25">
      <c r="A33" s="58" t="s">
        <v>10</v>
      </c>
      <c r="B33" s="59"/>
      <c r="C33" s="60">
        <f>SUM(C26:C32)</f>
        <v>3371.8490000000002</v>
      </c>
      <c r="D33" s="60">
        <f>SUM(D26:D32)</f>
        <v>3540.433</v>
      </c>
    </row>
    <row r="34" spans="1:9" s="36" customFormat="1" ht="3" customHeight="1" x14ac:dyDescent="0.25">
      <c r="A34" s="546"/>
      <c r="B34" s="547"/>
      <c r="C34" s="548"/>
      <c r="D34" s="88"/>
      <c r="E34" s="88"/>
      <c r="F34" s="88"/>
      <c r="G34" s="88"/>
      <c r="H34" s="88"/>
      <c r="I34" s="88"/>
    </row>
    <row r="35" spans="1:9" x14ac:dyDescent="0.25">
      <c r="A35" s="50" t="s">
        <v>30</v>
      </c>
      <c r="B35" s="51"/>
      <c r="C35" s="52"/>
      <c r="D35" s="52"/>
    </row>
    <row r="36" spans="1:9" x14ac:dyDescent="0.25">
      <c r="A36" s="63" t="s">
        <v>31</v>
      </c>
      <c r="B36" s="64"/>
      <c r="C36" s="65"/>
      <c r="D36" s="65"/>
    </row>
    <row r="37" spans="1:9" x14ac:dyDescent="0.25">
      <c r="A37" s="53" t="s">
        <v>128</v>
      </c>
      <c r="B37" s="66"/>
      <c r="C37" s="55" t="s">
        <v>29</v>
      </c>
      <c r="D37" s="55" t="s">
        <v>29</v>
      </c>
    </row>
    <row r="38" spans="1:9" x14ac:dyDescent="0.25">
      <c r="A38" s="46" t="s">
        <v>58</v>
      </c>
      <c r="B38" s="47">
        <f>'12X36 NA'!B38</f>
        <v>8.3299999999999999E-2</v>
      </c>
      <c r="C38" s="48">
        <f>ROUNDDOWN(B38*C$33,2)</f>
        <v>280.87</v>
      </c>
      <c r="D38" s="48">
        <f>ROUNDDOWN(B$38*D$33,2)</f>
        <v>294.91000000000003</v>
      </c>
    </row>
    <row r="39" spans="1:9" x14ac:dyDescent="0.25">
      <c r="A39" s="46" t="s">
        <v>499</v>
      </c>
      <c r="B39" s="67">
        <f>'12X36 NA'!B39</f>
        <v>2.7799999999999998E-2</v>
      </c>
      <c r="C39" s="68">
        <f>ROUNDDOWN(C33*B39,2)</f>
        <v>93.73</v>
      </c>
      <c r="D39" s="68">
        <f>ROUNDDOWN(D33*B$39,2)</f>
        <v>98.42</v>
      </c>
    </row>
    <row r="40" spans="1:9" x14ac:dyDescent="0.25">
      <c r="A40" s="69" t="s">
        <v>66</v>
      </c>
      <c r="B40" s="124">
        <f>SUM(B38:B39)</f>
        <v>0.1111</v>
      </c>
      <c r="C40" s="70">
        <f>SUM(C38:C39)</f>
        <v>374.6</v>
      </c>
      <c r="D40" s="70">
        <f>SUM(D38:D39)</f>
        <v>393.33000000000004</v>
      </c>
    </row>
    <row r="41" spans="1:9" x14ac:dyDescent="0.25">
      <c r="A41" s="89" t="s">
        <v>460</v>
      </c>
      <c r="B41" s="112">
        <f>B40*B53</f>
        <v>3.9218300000000005E-2</v>
      </c>
      <c r="C41" s="90">
        <f>C33*B41</f>
        <v>132.23818563670002</v>
      </c>
      <c r="D41" s="90">
        <f>D33*B$41</f>
        <v>138.84976352390001</v>
      </c>
    </row>
    <row r="42" spans="1:9" x14ac:dyDescent="0.25">
      <c r="A42" s="89" t="s">
        <v>1</v>
      </c>
      <c r="B42" s="112">
        <f>SUM(B40:B41)</f>
        <v>0.15031830000000002</v>
      </c>
      <c r="C42" s="90">
        <f>SUM(C40:C41)</f>
        <v>506.83818563670002</v>
      </c>
      <c r="D42" s="90">
        <f>SUM(D40:D41)</f>
        <v>532.17976352390008</v>
      </c>
      <c r="E42" s="111"/>
    </row>
    <row r="43" spans="1:9" s="36" customFormat="1" ht="3" customHeight="1" x14ac:dyDescent="0.25">
      <c r="A43" s="546"/>
      <c r="B43" s="547"/>
      <c r="C43" s="548"/>
      <c r="D43" s="88"/>
      <c r="E43" s="88"/>
      <c r="F43" s="88"/>
      <c r="G43" s="88"/>
      <c r="H43" s="88"/>
      <c r="I43" s="88"/>
    </row>
    <row r="44" spans="1:9" ht="16.5" customHeight="1" x14ac:dyDescent="0.25">
      <c r="A44" s="554" t="s">
        <v>59</v>
      </c>
      <c r="B44" s="554"/>
      <c r="C44" s="554"/>
      <c r="D44" s="37"/>
    </row>
    <row r="45" spans="1:9" x14ac:dyDescent="0.25">
      <c r="A45" s="46" t="s">
        <v>13</v>
      </c>
      <c r="B45" s="47">
        <f>'12X36 NA'!B45</f>
        <v>0.2</v>
      </c>
      <c r="C45" s="48">
        <f t="shared" ref="C45:C52" si="0">ROUNDDOWN(B45*(C$33),2)</f>
        <v>674.36</v>
      </c>
      <c r="D45" s="48">
        <f>ROUNDDOWN(B$45*(D$33),2)</f>
        <v>708.08</v>
      </c>
    </row>
    <row r="46" spans="1:9" x14ac:dyDescent="0.25">
      <c r="A46" s="46" t="s">
        <v>60</v>
      </c>
      <c r="B46" s="47">
        <f>'12X36 NA'!B46</f>
        <v>2.5000000000000001E-2</v>
      </c>
      <c r="C46" s="48">
        <f t="shared" si="0"/>
        <v>84.29</v>
      </c>
      <c r="D46" s="48">
        <f>ROUNDDOWN(B$46*(D$33),2)</f>
        <v>88.51</v>
      </c>
    </row>
    <row r="47" spans="1:9" x14ac:dyDescent="0.25">
      <c r="A47" s="46" t="s">
        <v>72</v>
      </c>
      <c r="B47" s="47">
        <f>'12X36 NA'!B47</f>
        <v>1.4999999999999999E-2</v>
      </c>
      <c r="C47" s="48">
        <f t="shared" si="0"/>
        <v>50.57</v>
      </c>
      <c r="D47" s="48">
        <f>ROUNDDOWN(B$47*(D$33),2)</f>
        <v>53.1</v>
      </c>
    </row>
    <row r="48" spans="1:9" x14ac:dyDescent="0.25">
      <c r="A48" s="46" t="s">
        <v>61</v>
      </c>
      <c r="B48" s="47">
        <f>'12X36 NA'!B48</f>
        <v>1.4999999999999999E-2</v>
      </c>
      <c r="C48" s="48">
        <f t="shared" si="0"/>
        <v>50.57</v>
      </c>
      <c r="D48" s="48">
        <f>ROUNDDOWN(B$48*(D$33),2)</f>
        <v>53.1</v>
      </c>
    </row>
    <row r="49" spans="1:9" x14ac:dyDescent="0.25">
      <c r="A49" s="46" t="s">
        <v>62</v>
      </c>
      <c r="B49" s="47">
        <f>'12X36 NA'!B49</f>
        <v>0.01</v>
      </c>
      <c r="C49" s="48">
        <f t="shared" si="0"/>
        <v>33.71</v>
      </c>
      <c r="D49" s="48">
        <f>ROUNDDOWN(B$49*(D$33),2)</f>
        <v>35.4</v>
      </c>
    </row>
    <row r="50" spans="1:9" x14ac:dyDescent="0.25">
      <c r="A50" s="46" t="s">
        <v>63</v>
      </c>
      <c r="B50" s="47">
        <f>'12X36 NA'!B50</f>
        <v>6.0000000000000001E-3</v>
      </c>
      <c r="C50" s="48">
        <f t="shared" si="0"/>
        <v>20.23</v>
      </c>
      <c r="D50" s="48">
        <f>ROUNDDOWN(B$50*(D$33),2)</f>
        <v>21.24</v>
      </c>
    </row>
    <row r="51" spans="1:9" x14ac:dyDescent="0.25">
      <c r="A51" s="46" t="s">
        <v>64</v>
      </c>
      <c r="B51" s="47">
        <f>'12X36 NA'!B51</f>
        <v>2E-3</v>
      </c>
      <c r="C51" s="48">
        <f t="shared" si="0"/>
        <v>6.74</v>
      </c>
      <c r="D51" s="48">
        <f>ROUNDDOWN(B$51*(D$33),2)</f>
        <v>7.08</v>
      </c>
    </row>
    <row r="52" spans="1:9" x14ac:dyDescent="0.25">
      <c r="A52" s="46" t="s">
        <v>65</v>
      </c>
      <c r="B52" s="47">
        <f>'12X36 NA'!B52</f>
        <v>0.08</v>
      </c>
      <c r="C52" s="48">
        <f t="shared" si="0"/>
        <v>269.74</v>
      </c>
      <c r="D52" s="48">
        <f>ROUNDDOWN(B$52*(D$33),2)</f>
        <v>283.23</v>
      </c>
    </row>
    <row r="53" spans="1:9" x14ac:dyDescent="0.25">
      <c r="A53" s="89" t="s">
        <v>1</v>
      </c>
      <c r="B53" s="112">
        <f>SUM(B45:B52)</f>
        <v>0.35300000000000004</v>
      </c>
      <c r="C53" s="90">
        <f>SUM(C45:C52)</f>
        <v>1190.21</v>
      </c>
      <c r="D53" s="90">
        <f>SUM(D45:D52)</f>
        <v>1249.7400000000002</v>
      </c>
    </row>
    <row r="54" spans="1:9" s="36" customFormat="1" ht="3" customHeight="1" x14ac:dyDescent="0.25">
      <c r="A54" s="546"/>
      <c r="B54" s="547"/>
      <c r="C54" s="548"/>
      <c r="D54" s="91"/>
      <c r="E54" s="91"/>
      <c r="F54" s="91"/>
      <c r="G54" s="91"/>
      <c r="H54" s="91"/>
      <c r="I54" s="91"/>
    </row>
    <row r="55" spans="1:9" x14ac:dyDescent="0.25">
      <c r="A55" s="63" t="s">
        <v>32</v>
      </c>
      <c r="B55" s="54"/>
      <c r="C55" s="55" t="s">
        <v>6</v>
      </c>
      <c r="D55" s="55" t="s">
        <v>6</v>
      </c>
      <c r="E55" s="37">
        <f>5.5*2*21</f>
        <v>231</v>
      </c>
      <c r="F55" s="86">
        <f>C26*6%</f>
        <v>155.62379999999999</v>
      </c>
    </row>
    <row r="56" spans="1:9" x14ac:dyDescent="0.25">
      <c r="A56" s="46" t="s">
        <v>160</v>
      </c>
      <c r="B56" s="56">
        <v>5.5</v>
      </c>
      <c r="C56" s="48">
        <f>E55-F55</f>
        <v>75.376200000000011</v>
      </c>
      <c r="D56" s="48">
        <f>E56-F56</f>
        <v>67.595400000000012</v>
      </c>
      <c r="E56" s="86">
        <f>5.5*2*21</f>
        <v>231</v>
      </c>
      <c r="F56" s="86">
        <f>D26*6%</f>
        <v>163.40459999999999</v>
      </c>
    </row>
    <row r="57" spans="1:9" x14ac:dyDescent="0.25">
      <c r="A57" s="46" t="s">
        <v>564</v>
      </c>
      <c r="B57" s="56">
        <f>'12x36 DA'!B57</f>
        <v>0</v>
      </c>
      <c r="C57" s="48">
        <f>45.12*21</f>
        <v>947.52</v>
      </c>
      <c r="D57" s="48">
        <f>47.37*21</f>
        <v>994.77</v>
      </c>
    </row>
    <row r="58" spans="1:9" x14ac:dyDescent="0.25">
      <c r="A58" s="46" t="s">
        <v>166</v>
      </c>
      <c r="B58" s="56">
        <f>B57*2%</f>
        <v>0</v>
      </c>
      <c r="C58" s="48">
        <f>(45.12*2%)*-21</f>
        <v>-18.950399999999998</v>
      </c>
      <c r="D58" s="48">
        <f>(47.37*2%)*-21</f>
        <v>-19.895400000000002</v>
      </c>
    </row>
    <row r="59" spans="1:9" x14ac:dyDescent="0.25">
      <c r="A59" s="46" t="s">
        <v>209</v>
      </c>
      <c r="B59" s="56"/>
      <c r="C59" s="48">
        <v>151.9</v>
      </c>
      <c r="D59" s="48">
        <v>164.05</v>
      </c>
    </row>
    <row r="60" spans="1:9" x14ac:dyDescent="0.25">
      <c r="A60" s="46" t="s">
        <v>210</v>
      </c>
      <c r="B60" s="56"/>
      <c r="C60" s="48">
        <v>10.33</v>
      </c>
      <c r="D60" s="48">
        <v>10.83</v>
      </c>
    </row>
    <row r="61" spans="1:9" x14ac:dyDescent="0.25">
      <c r="A61" s="46" t="s">
        <v>211</v>
      </c>
      <c r="B61" s="56"/>
      <c r="C61" s="48">
        <v>16.07</v>
      </c>
      <c r="D61" s="48">
        <v>18.170000000000002</v>
      </c>
    </row>
    <row r="62" spans="1:9" x14ac:dyDescent="0.25">
      <c r="A62" s="46" t="s">
        <v>212</v>
      </c>
      <c r="B62" s="56"/>
      <c r="C62" s="48">
        <v>8.17</v>
      </c>
      <c r="D62" s="48">
        <v>8.17</v>
      </c>
    </row>
    <row r="63" spans="1:9" x14ac:dyDescent="0.25">
      <c r="A63" s="92" t="s">
        <v>1</v>
      </c>
      <c r="B63" s="93"/>
      <c r="C63" s="94">
        <f>SUM(C56:C62)</f>
        <v>1190.4158</v>
      </c>
      <c r="D63" s="94">
        <f>SUM(D56:D62)</f>
        <v>1243.6899999999998</v>
      </c>
    </row>
    <row r="64" spans="1:9" s="95" customFormat="1" ht="3" customHeight="1" x14ac:dyDescent="0.25">
      <c r="A64" s="546"/>
      <c r="B64" s="547"/>
      <c r="C64" s="548"/>
      <c r="D64" s="87"/>
      <c r="E64" s="87"/>
      <c r="F64" s="87"/>
      <c r="G64" s="87"/>
      <c r="H64" s="87"/>
      <c r="I64" s="87"/>
    </row>
    <row r="65" spans="1:5" x14ac:dyDescent="0.25">
      <c r="A65" s="63" t="s">
        <v>33</v>
      </c>
      <c r="B65" s="64"/>
      <c r="C65" s="65"/>
      <c r="D65" s="65"/>
    </row>
    <row r="66" spans="1:5" x14ac:dyDescent="0.25">
      <c r="A66" s="139" t="s">
        <v>73</v>
      </c>
      <c r="B66" s="139"/>
      <c r="C66" s="55" t="s">
        <v>29</v>
      </c>
      <c r="D66" s="55" t="s">
        <v>29</v>
      </c>
    </row>
    <row r="67" spans="1:5" x14ac:dyDescent="0.25">
      <c r="A67" s="71" t="s">
        <v>34</v>
      </c>
      <c r="B67" s="72">
        <f>B40</f>
        <v>0.1111</v>
      </c>
      <c r="C67" s="48">
        <f>C42</f>
        <v>506.83818563670002</v>
      </c>
      <c r="D67" s="48">
        <f>D42</f>
        <v>532.17976352390008</v>
      </c>
    </row>
    <row r="68" spans="1:5" s="39" customFormat="1" x14ac:dyDescent="0.25">
      <c r="A68" s="71" t="s">
        <v>115</v>
      </c>
      <c r="B68" s="72">
        <f>B53</f>
        <v>0.35300000000000004</v>
      </c>
      <c r="C68" s="48">
        <f>C53</f>
        <v>1190.21</v>
      </c>
      <c r="D68" s="48">
        <f>D53</f>
        <v>1249.7400000000002</v>
      </c>
    </row>
    <row r="69" spans="1:5" x14ac:dyDescent="0.25">
      <c r="A69" s="71" t="s">
        <v>35</v>
      </c>
      <c r="B69" s="72"/>
      <c r="C69" s="48">
        <f>C63</f>
        <v>1190.4158</v>
      </c>
      <c r="D69" s="48">
        <f>D63</f>
        <v>1243.6899999999998</v>
      </c>
    </row>
    <row r="70" spans="1:5" x14ac:dyDescent="0.25">
      <c r="A70" s="138" t="s">
        <v>1</v>
      </c>
      <c r="B70" s="73">
        <f>SUM(B67:B69)</f>
        <v>0.46410000000000007</v>
      </c>
      <c r="C70" s="60">
        <f>SUM(C67:C69)</f>
        <v>2887.4639856367003</v>
      </c>
      <c r="D70" s="60">
        <f>SUM(D67:D69)</f>
        <v>3025.6097635239003</v>
      </c>
      <c r="E70" s="111"/>
    </row>
    <row r="71" spans="1:5" s="38" customFormat="1" ht="3" customHeight="1" x14ac:dyDescent="0.25">
      <c r="A71" s="74"/>
      <c r="B71" s="75"/>
      <c r="C71" s="76"/>
      <c r="D71" s="76"/>
    </row>
    <row r="72" spans="1:5" s="39" customFormat="1" x14ac:dyDescent="0.25">
      <c r="A72" s="50" t="s">
        <v>36</v>
      </c>
      <c r="B72" s="51"/>
      <c r="C72" s="52"/>
      <c r="D72" s="52"/>
    </row>
    <row r="73" spans="1:5" x14ac:dyDescent="0.25">
      <c r="A73" s="53" t="s">
        <v>37</v>
      </c>
      <c r="B73" s="66"/>
      <c r="C73" s="55" t="s">
        <v>29</v>
      </c>
      <c r="D73" s="55" t="s">
        <v>29</v>
      </c>
    </row>
    <row r="74" spans="1:5" x14ac:dyDescent="0.25">
      <c r="A74" s="46" t="s">
        <v>14</v>
      </c>
      <c r="B74" s="47">
        <f>'12X36 NA'!B74</f>
        <v>8.3333333333333328E-4</v>
      </c>
      <c r="C74" s="48">
        <f t="shared" ref="C74:C79" si="1">ROUNDDOWN(B74*C$33,2)</f>
        <v>2.8</v>
      </c>
      <c r="D74" s="48">
        <f>ROUNDDOWN(B$74*D$33,2)</f>
        <v>2.95</v>
      </c>
      <c r="E74" s="115"/>
    </row>
    <row r="75" spans="1:5" x14ac:dyDescent="0.25">
      <c r="A75" s="77" t="s">
        <v>15</v>
      </c>
      <c r="B75" s="78">
        <f>'12X36 NA'!B75</f>
        <v>6.666666666666667E-5</v>
      </c>
      <c r="C75" s="48">
        <f t="shared" si="1"/>
        <v>0.22</v>
      </c>
      <c r="D75" s="48">
        <f>ROUNDDOWN(B$75*D$33,2)</f>
        <v>0.23</v>
      </c>
    </row>
    <row r="76" spans="1:5" s="1" customFormat="1" x14ac:dyDescent="0.25">
      <c r="A76" s="77" t="s">
        <v>121</v>
      </c>
      <c r="B76" s="47">
        <f>'12X36 NA'!B76</f>
        <v>1.6000000000000003E-3</v>
      </c>
      <c r="C76" s="48">
        <f t="shared" si="1"/>
        <v>5.39</v>
      </c>
      <c r="D76" s="48">
        <f>ROUNDDOWN(B$76*D$33,2)</f>
        <v>5.66</v>
      </c>
    </row>
    <row r="77" spans="1:5" s="38" customFormat="1" x14ac:dyDescent="0.25">
      <c r="A77" s="79" t="s">
        <v>122</v>
      </c>
      <c r="B77" s="80">
        <f>'12X36 NA'!B77</f>
        <v>3.8888888888888892E-4</v>
      </c>
      <c r="C77" s="81">
        <f t="shared" si="1"/>
        <v>1.31</v>
      </c>
      <c r="D77" s="81">
        <f>ROUNDDOWN(B$77*D$33,2)</f>
        <v>1.37</v>
      </c>
    </row>
    <row r="78" spans="1:5" x14ac:dyDescent="0.25">
      <c r="A78" s="77" t="s">
        <v>123</v>
      </c>
      <c r="B78" s="47">
        <f>'12X36 NA'!B78</f>
        <v>1.372777777777778E-4</v>
      </c>
      <c r="C78" s="48">
        <f t="shared" si="1"/>
        <v>0.46</v>
      </c>
      <c r="D78" s="48">
        <f>ROUNDDOWN(B$78*D$33,2)</f>
        <v>0.48</v>
      </c>
    </row>
    <row r="79" spans="1:5" x14ac:dyDescent="0.25">
      <c r="A79" s="77" t="s">
        <v>124</v>
      </c>
      <c r="B79" s="47">
        <f>'12X36 NA'!B79</f>
        <v>3.2750666666666657E-2</v>
      </c>
      <c r="C79" s="48">
        <f t="shared" si="1"/>
        <v>110.43</v>
      </c>
      <c r="D79" s="48">
        <f>ROUNDDOWN(B$79*D$33,2)</f>
        <v>115.95</v>
      </c>
    </row>
    <row r="80" spans="1:5" x14ac:dyDescent="0.25">
      <c r="A80" s="138" t="s">
        <v>16</v>
      </c>
      <c r="B80" s="73">
        <f>SUM(B74:B79)</f>
        <v>3.5776833333333327E-2</v>
      </c>
      <c r="C80" s="60">
        <f>SUM(C74:C79)</f>
        <v>120.61000000000001</v>
      </c>
      <c r="D80" s="60">
        <f>SUM(D74:D79)</f>
        <v>126.64</v>
      </c>
    </row>
    <row r="81" spans="1:9" ht="3" customHeight="1" x14ac:dyDescent="0.25">
      <c r="A81" s="560"/>
      <c r="B81" s="561"/>
      <c r="C81" s="562"/>
      <c r="D81" s="37"/>
    </row>
    <row r="82" spans="1:9" s="39" customFormat="1" x14ac:dyDescent="0.25">
      <c r="A82" s="50" t="s">
        <v>38</v>
      </c>
      <c r="B82" s="51"/>
      <c r="C82" s="52"/>
      <c r="D82" s="52"/>
    </row>
    <row r="83" spans="1:9" x14ac:dyDescent="0.25">
      <c r="A83" s="53" t="s">
        <v>155</v>
      </c>
      <c r="B83" s="66"/>
      <c r="C83" s="55" t="s">
        <v>29</v>
      </c>
      <c r="D83" s="55" t="s">
        <v>29</v>
      </c>
    </row>
    <row r="84" spans="1:9" x14ac:dyDescent="0.25">
      <c r="A84" s="46" t="s">
        <v>149</v>
      </c>
      <c r="B84" s="80">
        <f>'12X36 NA'!B84</f>
        <v>8.3299999999999999E-2</v>
      </c>
      <c r="C84" s="48">
        <f>ROUNDDOWN(B84*C$33,2)</f>
        <v>280.87</v>
      </c>
      <c r="D84" s="48">
        <f>ROUNDDOWN(B$84*D$33,2)</f>
        <v>294.91000000000003</v>
      </c>
    </row>
    <row r="85" spans="1:9" x14ac:dyDescent="0.25">
      <c r="A85" s="46" t="s">
        <v>150</v>
      </c>
      <c r="B85" s="47">
        <f>'12X36 NA'!B85</f>
        <v>2.0000000000000001E-4</v>
      </c>
      <c r="C85" s="48">
        <f>ROUNDDOWN(B85*C$33,2)</f>
        <v>0.67</v>
      </c>
      <c r="D85" s="48">
        <f>ROUNDDOWN(B$85*D$33,2)</f>
        <v>0.7</v>
      </c>
    </row>
    <row r="86" spans="1:9" x14ac:dyDescent="0.25">
      <c r="A86" s="46" t="s">
        <v>151</v>
      </c>
      <c r="B86" s="47">
        <f>'12X36 NA'!B86</f>
        <v>2.0000000000000001E-4</v>
      </c>
      <c r="C86" s="48">
        <f>ROUNDDOWN(B86*C$33,2)</f>
        <v>0.67</v>
      </c>
      <c r="D86" s="48">
        <f>ROUNDDOWN(B$86*D$33,2)</f>
        <v>0.7</v>
      </c>
    </row>
    <row r="87" spans="1:9" x14ac:dyDescent="0.25">
      <c r="A87" s="46" t="s">
        <v>152</v>
      </c>
      <c r="B87" s="47">
        <f>'12X36 NA'!B87</f>
        <v>4.1666666666666664E-4</v>
      </c>
      <c r="C87" s="48">
        <f>ROUNDDOWN(B87*C$33,2)</f>
        <v>1.4</v>
      </c>
      <c r="D87" s="48">
        <f>ROUNDDOWN(B$87*D$33,2)</f>
        <v>1.47</v>
      </c>
    </row>
    <row r="88" spans="1:9" x14ac:dyDescent="0.25">
      <c r="A88" s="46" t="s">
        <v>153</v>
      </c>
      <c r="B88" s="47">
        <f>'12X36 NA'!B88</f>
        <v>2.0063888888888887E-4</v>
      </c>
      <c r="C88" s="48">
        <f>ROUNDDOWN(B88*C$33,2)</f>
        <v>0.67</v>
      </c>
      <c r="D88" s="48">
        <f>ROUNDDOWN(B$88*D$33,2)</f>
        <v>0.71</v>
      </c>
    </row>
    <row r="89" spans="1:9" ht="15.75" customHeight="1" x14ac:dyDescent="0.25">
      <c r="A89" s="150" t="s">
        <v>154</v>
      </c>
      <c r="B89" s="152">
        <f>'12X36 NA'!B89</f>
        <v>0</v>
      </c>
      <c r="C89" s="151">
        <f t="shared" ref="C89:D89" si="2">B89*C$33</f>
        <v>0</v>
      </c>
      <c r="D89" s="151">
        <f t="shared" si="2"/>
        <v>0</v>
      </c>
    </row>
    <row r="90" spans="1:9" ht="15" customHeight="1" x14ac:dyDescent="0.25">
      <c r="A90" s="82" t="s">
        <v>66</v>
      </c>
      <c r="B90" s="67">
        <f>SUM(B84:B89)</f>
        <v>8.4317305555555555E-2</v>
      </c>
      <c r="C90" s="68">
        <f>SUM(C84:C89)</f>
        <v>284.28000000000003</v>
      </c>
      <c r="D90" s="68">
        <f>SUM(D84:D89)</f>
        <v>298.49</v>
      </c>
    </row>
    <row r="91" spans="1:9" ht="15" customHeight="1" x14ac:dyDescent="0.25">
      <c r="A91" s="138" t="s">
        <v>1</v>
      </c>
      <c r="B91" s="73">
        <f>SUM(B90:B90)</f>
        <v>8.4317305555555555E-2</v>
      </c>
      <c r="C91" s="60">
        <f>SUM(C90:C90)</f>
        <v>284.28000000000003</v>
      </c>
      <c r="D91" s="60">
        <f>SUM(D90:D90)</f>
        <v>298.49</v>
      </c>
      <c r="E91" s="111"/>
    </row>
    <row r="92" spans="1:9" x14ac:dyDescent="0.25">
      <c r="A92" s="53" t="s">
        <v>40</v>
      </c>
      <c r="B92" s="66"/>
      <c r="C92" s="55" t="s">
        <v>6</v>
      </c>
      <c r="D92" s="55" t="s">
        <v>6</v>
      </c>
    </row>
    <row r="93" spans="1:9" x14ac:dyDescent="0.25">
      <c r="A93" s="46" t="s">
        <v>41</v>
      </c>
      <c r="B93" s="47"/>
      <c r="C93" s="197">
        <v>0</v>
      </c>
      <c r="D93" s="197">
        <v>0</v>
      </c>
    </row>
    <row r="94" spans="1:9" ht="6" customHeight="1" x14ac:dyDescent="0.25">
      <c r="A94" s="61"/>
      <c r="B94" s="67"/>
      <c r="C94" s="62"/>
      <c r="D94" s="62"/>
    </row>
    <row r="95" spans="1:9" ht="15" customHeight="1" x14ac:dyDescent="0.25">
      <c r="A95" s="138" t="s">
        <v>45</v>
      </c>
      <c r="B95" s="73"/>
      <c r="C95" s="60">
        <f>SUM(C92:C93)</f>
        <v>0</v>
      </c>
      <c r="D95" s="60">
        <f>SUM(D92:D93)</f>
        <v>0</v>
      </c>
    </row>
    <row r="96" spans="1:9" s="36" customFormat="1" ht="3" customHeight="1" x14ac:dyDescent="0.25">
      <c r="A96" s="546"/>
      <c r="B96" s="547"/>
      <c r="C96" s="548"/>
      <c r="D96" s="96"/>
      <c r="E96" s="96"/>
      <c r="F96" s="96"/>
      <c r="G96" s="96"/>
      <c r="H96" s="96"/>
      <c r="I96" s="96"/>
    </row>
    <row r="97" spans="1:4" x14ac:dyDescent="0.25">
      <c r="A97" s="63" t="s">
        <v>42</v>
      </c>
      <c r="B97" s="64"/>
      <c r="C97" s="65"/>
      <c r="D97" s="65"/>
    </row>
    <row r="98" spans="1:4" x14ac:dyDescent="0.25">
      <c r="A98" s="139" t="s">
        <v>17</v>
      </c>
      <c r="B98" s="139"/>
      <c r="C98" s="55" t="s">
        <v>6</v>
      </c>
      <c r="D98" s="55" t="s">
        <v>6</v>
      </c>
    </row>
    <row r="99" spans="1:4" x14ac:dyDescent="0.25">
      <c r="A99" s="71" t="s">
        <v>43</v>
      </c>
      <c r="B99" s="72">
        <f>'12X36 NA'!B99</f>
        <v>8.4317305555555555E-2</v>
      </c>
      <c r="C99" s="48">
        <f>C91</f>
        <v>284.28000000000003</v>
      </c>
      <c r="D99" s="48">
        <f>D91</f>
        <v>298.49</v>
      </c>
    </row>
    <row r="100" spans="1:4" s="39" customFormat="1" x14ac:dyDescent="0.25">
      <c r="A100" s="71" t="s">
        <v>44</v>
      </c>
      <c r="B100" s="72"/>
      <c r="C100" s="197">
        <f>C93</f>
        <v>0</v>
      </c>
      <c r="D100" s="197">
        <f>D93</f>
        <v>0</v>
      </c>
    </row>
    <row r="101" spans="1:4" x14ac:dyDescent="0.25">
      <c r="A101" s="138" t="s">
        <v>1</v>
      </c>
      <c r="B101" s="73">
        <f>SUM(B99:B100)</f>
        <v>8.4317305555555555E-2</v>
      </c>
      <c r="C101" s="60">
        <f>SUM(C99:C100)</f>
        <v>284.28000000000003</v>
      </c>
      <c r="D101" s="60">
        <f>SUM(D99:D100)</f>
        <v>298.49</v>
      </c>
    </row>
    <row r="102" spans="1:4" s="38" customFormat="1" ht="3" customHeight="1" x14ac:dyDescent="0.25">
      <c r="A102" s="572"/>
      <c r="B102" s="573"/>
      <c r="C102" s="574"/>
    </row>
    <row r="103" spans="1:4" s="39" customFormat="1" x14ac:dyDescent="0.25">
      <c r="A103" s="50" t="s">
        <v>46</v>
      </c>
      <c r="B103" s="51"/>
      <c r="C103" s="52"/>
      <c r="D103" s="52"/>
    </row>
    <row r="104" spans="1:4" x14ac:dyDescent="0.25">
      <c r="A104" s="53" t="s">
        <v>47</v>
      </c>
      <c r="B104" s="54"/>
      <c r="C104" s="55" t="s">
        <v>6</v>
      </c>
      <c r="D104" s="55" t="s">
        <v>6</v>
      </c>
    </row>
    <row r="105" spans="1:4" x14ac:dyDescent="0.25">
      <c r="A105" s="46" t="s">
        <v>11</v>
      </c>
      <c r="B105" s="56"/>
      <c r="C105" s="81">
        <f>'Uniformes -IV'!H11</f>
        <v>46.709999999999987</v>
      </c>
      <c r="D105" s="81">
        <f>C105</f>
        <v>46.709999999999987</v>
      </c>
    </row>
    <row r="106" spans="1:4" x14ac:dyDescent="0.25">
      <c r="A106" s="46" t="s">
        <v>190</v>
      </c>
      <c r="B106" s="56"/>
      <c r="C106" s="48">
        <f>'Equipamentos-IV'!I13</f>
        <v>8.4816666666666674</v>
      </c>
      <c r="D106" s="48">
        <f>C106</f>
        <v>8.4816666666666674</v>
      </c>
    </row>
    <row r="107" spans="1:4" x14ac:dyDescent="0.25">
      <c r="A107" s="46" t="s">
        <v>146</v>
      </c>
      <c r="B107" s="56"/>
      <c r="C107" s="48">
        <v>0</v>
      </c>
      <c r="D107" s="48">
        <v>0</v>
      </c>
    </row>
    <row r="108" spans="1:4" x14ac:dyDescent="0.25">
      <c r="A108" s="46" t="s">
        <v>145</v>
      </c>
      <c r="B108" s="56"/>
      <c r="C108" s="48">
        <v>0</v>
      </c>
      <c r="D108" s="48">
        <v>0</v>
      </c>
    </row>
    <row r="109" spans="1:4" x14ac:dyDescent="0.25">
      <c r="A109" s="138" t="s">
        <v>12</v>
      </c>
      <c r="B109" s="73"/>
      <c r="C109" s="60">
        <f>SUM(C105:C108)</f>
        <v>55.191666666666656</v>
      </c>
      <c r="D109" s="60">
        <f>SUM(D105:D108)</f>
        <v>55.191666666666656</v>
      </c>
    </row>
    <row r="110" spans="1:4" ht="3" customHeight="1" x14ac:dyDescent="0.25">
      <c r="A110" s="61"/>
      <c r="B110" s="57"/>
      <c r="C110" s="62"/>
      <c r="D110" s="62"/>
    </row>
    <row r="111" spans="1:4" x14ac:dyDescent="0.25">
      <c r="A111" s="50" t="s">
        <v>48</v>
      </c>
      <c r="B111" s="51"/>
      <c r="C111" s="52"/>
      <c r="D111" s="52"/>
    </row>
    <row r="112" spans="1:4" x14ac:dyDescent="0.25">
      <c r="A112" s="53" t="s">
        <v>49</v>
      </c>
      <c r="B112" s="54"/>
      <c r="C112" s="83" t="s">
        <v>6</v>
      </c>
      <c r="D112" s="83" t="s">
        <v>6</v>
      </c>
    </row>
    <row r="113" spans="1:5" x14ac:dyDescent="0.25">
      <c r="A113" s="46" t="s">
        <v>18</v>
      </c>
      <c r="B113" s="47">
        <f>'44HS DA'!B113</f>
        <v>5.0000000000000001E-3</v>
      </c>
      <c r="C113" s="48">
        <f>ROUNDDOWN(C129*B113,2)</f>
        <v>33.590000000000003</v>
      </c>
      <c r="D113" s="48">
        <f>ROUNDDOWN(D129*B$113,2)</f>
        <v>35.229999999999997</v>
      </c>
      <c r="E113" s="132"/>
    </row>
    <row r="114" spans="1:5" x14ac:dyDescent="0.25">
      <c r="A114" s="46" t="s">
        <v>19</v>
      </c>
      <c r="B114" s="47">
        <f>'44HS DA'!B114</f>
        <v>2.5000000000000001E-3</v>
      </c>
      <c r="C114" s="48">
        <f>ROUNDDOWN((C129+C113)*B114,2)</f>
        <v>16.88</v>
      </c>
      <c r="D114" s="48">
        <f>ROUNDDOWN((D129+D113)*B$114,2)</f>
        <v>17.7</v>
      </c>
      <c r="E114" s="132"/>
    </row>
    <row r="115" spans="1:5" x14ac:dyDescent="0.25">
      <c r="A115" s="46" t="s">
        <v>20</v>
      </c>
      <c r="B115" s="47">
        <f>SUM(B116:B118)</f>
        <v>8.6499999999999994E-2</v>
      </c>
      <c r="C115" s="81">
        <f ca="1">SUM(C116:C119)</f>
        <v>641.03</v>
      </c>
      <c r="D115" s="81">
        <f ca="1">SUM(D116:D118)</f>
        <v>672.23751309412592</v>
      </c>
      <c r="E115" s="132"/>
    </row>
    <row r="116" spans="1:5" x14ac:dyDescent="0.25">
      <c r="A116" s="46" t="s">
        <v>108</v>
      </c>
      <c r="B116" s="113">
        <v>3.6499999999999998E-2</v>
      </c>
      <c r="C116" s="114">
        <f ca="1">ROUNDDOWN(C131*B116,2)</f>
        <v>270.49</v>
      </c>
      <c r="D116" s="114">
        <f ca="1">D131*B$116</f>
        <v>283.66091592989125</v>
      </c>
    </row>
    <row r="117" spans="1:5" x14ac:dyDescent="0.25">
      <c r="A117" s="46" t="s">
        <v>21</v>
      </c>
      <c r="B117" s="113">
        <v>0</v>
      </c>
      <c r="C117" s="114"/>
      <c r="D117" s="114"/>
      <c r="E117" s="132"/>
    </row>
    <row r="118" spans="1:5" x14ac:dyDescent="0.25">
      <c r="A118" s="46" t="s">
        <v>22</v>
      </c>
      <c r="B118" s="113">
        <v>0.05</v>
      </c>
      <c r="C118" s="114">
        <f ca="1">ROUNDDOWN(C131*B118,2)</f>
        <v>370.54</v>
      </c>
      <c r="D118" s="114">
        <f ca="1">D131*B$118</f>
        <v>388.57659716423467</v>
      </c>
      <c r="E118" s="132"/>
    </row>
    <row r="119" spans="1:5" x14ac:dyDescent="0.25">
      <c r="A119" s="46" t="s">
        <v>23</v>
      </c>
      <c r="B119" s="56"/>
      <c r="C119" s="48"/>
      <c r="D119" s="48"/>
    </row>
    <row r="120" spans="1:5" x14ac:dyDescent="0.25">
      <c r="A120" s="138" t="s">
        <v>24</v>
      </c>
      <c r="B120" s="73"/>
      <c r="C120" s="60">
        <f ca="1">SUM(C113:C115)</f>
        <v>691.5</v>
      </c>
      <c r="D120" s="60">
        <f ca="1">SUM(D113:D115)</f>
        <v>725.16751309412587</v>
      </c>
      <c r="E120" s="132"/>
    </row>
    <row r="121" spans="1:5" ht="3" customHeight="1" x14ac:dyDescent="0.25">
      <c r="A121" s="560"/>
      <c r="B121" s="561"/>
      <c r="C121" s="562"/>
      <c r="D121" s="37"/>
    </row>
    <row r="122" spans="1:5" x14ac:dyDescent="0.25">
      <c r="A122" s="556" t="s">
        <v>25</v>
      </c>
      <c r="B122" s="556"/>
      <c r="C122" s="556"/>
      <c r="D122" s="37"/>
    </row>
    <row r="123" spans="1:5" x14ac:dyDescent="0.25">
      <c r="A123" s="557" t="s">
        <v>26</v>
      </c>
      <c r="B123" s="557"/>
      <c r="C123" s="55" t="s">
        <v>6</v>
      </c>
      <c r="D123" s="55" t="s">
        <v>6</v>
      </c>
    </row>
    <row r="124" spans="1:5" x14ac:dyDescent="0.25">
      <c r="A124" s="558" t="s">
        <v>27</v>
      </c>
      <c r="B124" s="558"/>
      <c r="C124" s="62">
        <f>C33</f>
        <v>3371.8490000000002</v>
      </c>
      <c r="D124" s="62">
        <f>D33</f>
        <v>3540.433</v>
      </c>
    </row>
    <row r="125" spans="1:5" x14ac:dyDescent="0.25">
      <c r="A125" s="558" t="s">
        <v>50</v>
      </c>
      <c r="B125" s="558"/>
      <c r="C125" s="62">
        <f>C70</f>
        <v>2887.4639856367003</v>
      </c>
      <c r="D125" s="62">
        <f>D70</f>
        <v>3025.6097635239003</v>
      </c>
    </row>
    <row r="126" spans="1:5" x14ac:dyDescent="0.25">
      <c r="A126" s="558" t="s">
        <v>51</v>
      </c>
      <c r="B126" s="558"/>
      <c r="C126" s="62">
        <f>C80</f>
        <v>120.61000000000001</v>
      </c>
      <c r="D126" s="62">
        <f>D80</f>
        <v>126.64</v>
      </c>
    </row>
    <row r="127" spans="1:5" x14ac:dyDescent="0.25">
      <c r="A127" s="558" t="s">
        <v>52</v>
      </c>
      <c r="B127" s="558"/>
      <c r="C127" s="62">
        <f>C101</f>
        <v>284.28000000000003</v>
      </c>
      <c r="D127" s="62">
        <f>D101</f>
        <v>298.49</v>
      </c>
    </row>
    <row r="128" spans="1:5" x14ac:dyDescent="0.25">
      <c r="A128" s="558" t="s">
        <v>53</v>
      </c>
      <c r="B128" s="558"/>
      <c r="C128" s="62">
        <f>C109</f>
        <v>55.191666666666656</v>
      </c>
      <c r="D128" s="62">
        <f>D109</f>
        <v>55.191666666666656</v>
      </c>
    </row>
    <row r="129" spans="1:5" x14ac:dyDescent="0.25">
      <c r="A129" s="559" t="s">
        <v>55</v>
      </c>
      <c r="B129" s="559"/>
      <c r="C129" s="62">
        <f>SUM(C124:C128)</f>
        <v>6719.3946523033665</v>
      </c>
      <c r="D129" s="62">
        <f>SUM(D124:D128)</f>
        <v>7046.364430190567</v>
      </c>
    </row>
    <row r="130" spans="1:5" x14ac:dyDescent="0.25">
      <c r="A130" s="558" t="s">
        <v>54</v>
      </c>
      <c r="B130" s="558"/>
      <c r="C130" s="62">
        <f ca="1">C120</f>
        <v>691.5</v>
      </c>
      <c r="D130" s="62">
        <f ca="1">D120</f>
        <v>725.16751309412587</v>
      </c>
    </row>
    <row r="131" spans="1:5" ht="15.75" customHeight="1" x14ac:dyDescent="0.25">
      <c r="A131" s="555" t="s">
        <v>28</v>
      </c>
      <c r="B131" s="555"/>
      <c r="C131" s="60">
        <f ca="1">SUM(C129:C130)</f>
        <v>7410.8946523033665</v>
      </c>
      <c r="D131" s="60">
        <f ca="1">SUM(D129:D130)</f>
        <v>7771.5319432846927</v>
      </c>
    </row>
    <row r="132" spans="1:5" x14ac:dyDescent="0.25">
      <c r="A132" s="560"/>
      <c r="B132" s="561"/>
      <c r="C132" s="562"/>
      <c r="D132" s="37"/>
    </row>
    <row r="133" spans="1:5" ht="15.75" customHeight="1" x14ac:dyDescent="0.25">
      <c r="A133" s="555" t="s">
        <v>70</v>
      </c>
      <c r="B133" s="555"/>
      <c r="C133" s="60">
        <f ca="1">C131</f>
        <v>7410.8946523033665</v>
      </c>
      <c r="D133" s="60">
        <f ca="1">D131</f>
        <v>7771.5319432846927</v>
      </c>
      <c r="E133" s="86"/>
    </row>
    <row r="134" spans="1:5" x14ac:dyDescent="0.25">
      <c r="B134" s="37"/>
      <c r="C134" s="37"/>
      <c r="D134" s="37"/>
    </row>
    <row r="135" spans="1:5" x14ac:dyDescent="0.25">
      <c r="B135" s="37"/>
      <c r="C135" s="37"/>
      <c r="D135" s="37"/>
    </row>
    <row r="136" spans="1:5" x14ac:dyDescent="0.25">
      <c r="B136" s="37"/>
      <c r="C136" s="37"/>
      <c r="D136" s="37"/>
    </row>
    <row r="137" spans="1:5" x14ac:dyDescent="0.25">
      <c r="B137" s="37"/>
      <c r="C137" s="37"/>
      <c r="D137" s="37"/>
    </row>
    <row r="138" spans="1:5" x14ac:dyDescent="0.25">
      <c r="B138" s="37"/>
      <c r="C138" s="37"/>
      <c r="D138" s="37"/>
    </row>
    <row r="139" spans="1:5" x14ac:dyDescent="0.25">
      <c r="B139" s="37"/>
      <c r="C139" s="37"/>
      <c r="D139" s="37"/>
    </row>
    <row r="140" spans="1:5" x14ac:dyDescent="0.25">
      <c r="B140" s="37"/>
      <c r="C140" s="37"/>
      <c r="D140" s="37"/>
    </row>
    <row r="141" spans="1:5" x14ac:dyDescent="0.25">
      <c r="B141" s="37"/>
      <c r="C141" s="37"/>
      <c r="D141" s="37"/>
    </row>
    <row r="142" spans="1:5" x14ac:dyDescent="0.25">
      <c r="B142" s="37"/>
      <c r="C142" s="37"/>
      <c r="D142" s="37"/>
    </row>
    <row r="143" spans="1:5" x14ac:dyDescent="0.25">
      <c r="A143" s="40"/>
      <c r="B143" s="37"/>
      <c r="C143" s="37"/>
      <c r="D143" s="37"/>
    </row>
    <row r="144" spans="1:5" x14ac:dyDescent="0.25">
      <c r="B144" s="37"/>
      <c r="C144" s="37"/>
      <c r="D144" s="37"/>
    </row>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sheetData>
  <mergeCells count="34">
    <mergeCell ref="A133:B133"/>
    <mergeCell ref="A122:C122"/>
    <mergeCell ref="A123:B123"/>
    <mergeCell ref="A124:B124"/>
    <mergeCell ref="A125:B125"/>
    <mergeCell ref="A126:B126"/>
    <mergeCell ref="A127:B127"/>
    <mergeCell ref="A128:B128"/>
    <mergeCell ref="A129:B129"/>
    <mergeCell ref="A130:B130"/>
    <mergeCell ref="A131:B131"/>
    <mergeCell ref="A132:C132"/>
    <mergeCell ref="A121:C121"/>
    <mergeCell ref="A23:C23"/>
    <mergeCell ref="A34:C34"/>
    <mergeCell ref="A43:C43"/>
    <mergeCell ref="A44:C44"/>
    <mergeCell ref="A54:C54"/>
    <mergeCell ref="A96:C96"/>
    <mergeCell ref="A64:C64"/>
    <mergeCell ref="A81:C81"/>
    <mergeCell ref="A102:C102"/>
    <mergeCell ref="A17:C17"/>
    <mergeCell ref="A1:C1"/>
    <mergeCell ref="A2:C2"/>
    <mergeCell ref="A5:C5"/>
    <mergeCell ref="A6:C6"/>
    <mergeCell ref="B7:C7"/>
    <mergeCell ref="B8:C8"/>
    <mergeCell ref="B9:C9"/>
    <mergeCell ref="B10:C10"/>
    <mergeCell ref="A14:B14"/>
    <mergeCell ref="A15:C15"/>
    <mergeCell ref="A16:C16"/>
  </mergeCells>
  <pageMargins left="0.511811024" right="0.511811024" top="0.78740157499999996" bottom="0.78740157499999996" header="0.31496062000000002" footer="0.31496062000000002"/>
  <pageSetup paperSize="9" scale="70" orientation="portrait" r:id="rId1"/>
  <rowBreaks count="1" manualBreakCount="1">
    <brk id="64" max="3" man="1"/>
  </rowBreaks>
  <colBreaks count="1" manualBreakCount="1">
    <brk id="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7"/>
  <sheetViews>
    <sheetView showGridLines="0" topLeftCell="A4" workbookViewId="0">
      <selection activeCell="H8" sqref="H8"/>
    </sheetView>
  </sheetViews>
  <sheetFormatPr defaultRowHeight="12.75" x14ac:dyDescent="0.25"/>
  <cols>
    <col min="1" max="1" width="9.140625" style="235"/>
    <col min="2" max="2" width="24.140625" style="235" customWidth="1"/>
    <col min="3" max="3" width="15.140625" style="235" customWidth="1"/>
    <col min="4" max="4" width="11.28515625" style="235" customWidth="1"/>
    <col min="5" max="5" width="14.85546875" style="235" customWidth="1"/>
    <col min="6" max="6" width="3" style="235" customWidth="1"/>
    <col min="7" max="7" width="4.85546875" style="235" customWidth="1"/>
    <col min="8" max="8" width="14.42578125" style="235" customWidth="1"/>
    <col min="9" max="9" width="14.85546875" style="235" customWidth="1"/>
    <col min="10" max="10" width="6.85546875" style="235" customWidth="1"/>
    <col min="11" max="16384" width="9.140625" style="235"/>
  </cols>
  <sheetData>
    <row r="1" spans="1:10" ht="53.1" customHeight="1" x14ac:dyDescent="0.25">
      <c r="A1" s="592" t="s">
        <v>466</v>
      </c>
      <c r="B1" s="593"/>
      <c r="C1" s="593"/>
      <c r="D1" s="593"/>
      <c r="E1" s="593"/>
      <c r="F1" s="593"/>
      <c r="G1" s="593"/>
      <c r="H1" s="594"/>
      <c r="I1" s="417"/>
      <c r="J1" s="294"/>
    </row>
    <row r="2" spans="1:10" s="226" customFormat="1" ht="60" customHeight="1" x14ac:dyDescent="0.25">
      <c r="A2" s="321" t="s">
        <v>197</v>
      </c>
      <c r="B2" s="301" t="s">
        <v>421</v>
      </c>
      <c r="C2" s="323" t="s">
        <v>463</v>
      </c>
      <c r="D2" s="301" t="s">
        <v>464</v>
      </c>
      <c r="E2" s="301" t="s">
        <v>465</v>
      </c>
      <c r="F2" s="597" t="s">
        <v>422</v>
      </c>
      <c r="G2" s="597"/>
      <c r="H2" s="323" t="s">
        <v>426</v>
      </c>
      <c r="I2" s="323" t="s">
        <v>427</v>
      </c>
    </row>
    <row r="3" spans="1:10" ht="42.6" customHeight="1" x14ac:dyDescent="0.25">
      <c r="A3" s="322">
        <v>1</v>
      </c>
      <c r="B3" s="324" t="s">
        <v>432</v>
      </c>
      <c r="C3" s="325">
        <f ca="1">'12x36 DA'!C130</f>
        <v>7190.0786856367004</v>
      </c>
      <c r="D3" s="326">
        <v>2</v>
      </c>
      <c r="E3" s="325">
        <f ca="1">D3*C3</f>
        <v>14380.157371273401</v>
      </c>
      <c r="F3" s="598">
        <v>2</v>
      </c>
      <c r="G3" s="598"/>
      <c r="H3" s="325">
        <f ca="1">F3*E3</f>
        <v>28760.314742546801</v>
      </c>
      <c r="I3" s="325">
        <f ca="1">H3*12</f>
        <v>345123.7769105616</v>
      </c>
    </row>
    <row r="4" spans="1:10" ht="30" customHeight="1" x14ac:dyDescent="0.25">
      <c r="A4" s="322">
        <v>2</v>
      </c>
      <c r="B4" s="327" t="s">
        <v>431</v>
      </c>
      <c r="C4" s="325">
        <f ca="1">'12X36 NA'!C131</f>
        <v>7862.5039607426997</v>
      </c>
      <c r="D4" s="326">
        <v>2</v>
      </c>
      <c r="E4" s="325">
        <f ca="1">D4*C4</f>
        <v>15725.007921485399</v>
      </c>
      <c r="F4" s="598">
        <v>2</v>
      </c>
      <c r="G4" s="598"/>
      <c r="H4" s="325">
        <f ca="1">F4*E4</f>
        <v>31450.015842970799</v>
      </c>
      <c r="I4" s="325">
        <f ca="1">H4*12</f>
        <v>377400.1901156496</v>
      </c>
    </row>
    <row r="5" spans="1:10" ht="53.85" customHeight="1" x14ac:dyDescent="0.25">
      <c r="A5" s="322">
        <v>3</v>
      </c>
      <c r="B5" s="324" t="s">
        <v>433</v>
      </c>
      <c r="C5" s="325">
        <f ca="1">'44HS DA'!C131</f>
        <v>7428.7104856366996</v>
      </c>
      <c r="D5" s="326">
        <v>1</v>
      </c>
      <c r="E5" s="325">
        <f ca="1">D5*C5</f>
        <v>7428.7104856366996</v>
      </c>
      <c r="F5" s="598">
        <v>3</v>
      </c>
      <c r="G5" s="598"/>
      <c r="H5" s="325">
        <f ca="1">F5*E5</f>
        <v>22286.131456910098</v>
      </c>
      <c r="I5" s="325">
        <f ca="1">H5*12</f>
        <v>267433.57748292119</v>
      </c>
    </row>
    <row r="6" spans="1:10" ht="53.25" customHeight="1" x14ac:dyDescent="0.25">
      <c r="A6" s="322">
        <v>4</v>
      </c>
      <c r="B6" s="324" t="s">
        <v>434</v>
      </c>
      <c r="C6" s="325">
        <f ca="1">'44HS DD'!C131</f>
        <v>7410.8946523033665</v>
      </c>
      <c r="D6" s="326">
        <v>1</v>
      </c>
      <c r="E6" s="325">
        <f ca="1">D6*C6</f>
        <v>7410.8946523033665</v>
      </c>
      <c r="F6" s="598">
        <v>2</v>
      </c>
      <c r="G6" s="598"/>
      <c r="H6" s="325">
        <f ca="1">F6*E6</f>
        <v>14821.789304606733</v>
      </c>
      <c r="I6" s="325">
        <f ca="1">H6*12</f>
        <v>177861.47165528079</v>
      </c>
    </row>
    <row r="7" spans="1:10" s="286" customFormat="1" ht="21.6" customHeight="1" x14ac:dyDescent="0.25">
      <c r="A7" s="595" t="s">
        <v>428</v>
      </c>
      <c r="B7" s="595"/>
      <c r="C7" s="595"/>
      <c r="D7" s="595"/>
      <c r="E7" s="595"/>
      <c r="F7" s="596">
        <f>SUM(F3:G6)</f>
        <v>9</v>
      </c>
      <c r="G7" s="596"/>
      <c r="H7" s="328">
        <f ca="1">SUM(H3:H6)</f>
        <v>97318.251347034427</v>
      </c>
      <c r="I7" s="328">
        <f ca="1">SUM(I3:I6)</f>
        <v>1167819.0161644132</v>
      </c>
    </row>
  </sheetData>
  <mergeCells count="8">
    <mergeCell ref="A1:H1"/>
    <mergeCell ref="A7:E7"/>
    <mergeCell ref="F7:G7"/>
    <mergeCell ref="F2:G2"/>
    <mergeCell ref="F3:G3"/>
    <mergeCell ref="F4:G4"/>
    <mergeCell ref="F5:G5"/>
    <mergeCell ref="F6:G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7"/>
  <sheetViews>
    <sheetView showGridLines="0" topLeftCell="A4" workbookViewId="0">
      <selection activeCell="C2" sqref="C2"/>
    </sheetView>
  </sheetViews>
  <sheetFormatPr defaultRowHeight="12.75" x14ac:dyDescent="0.25"/>
  <cols>
    <col min="1" max="1" width="8.28515625" style="235" customWidth="1"/>
    <col min="2" max="2" width="35.42578125" style="235" customWidth="1"/>
    <col min="3" max="3" width="21.28515625" style="235" customWidth="1"/>
    <col min="4" max="4" width="3" style="235" customWidth="1"/>
    <col min="5" max="5" width="7.42578125" style="235" customWidth="1"/>
    <col min="6" max="6" width="17.42578125" style="235" customWidth="1"/>
    <col min="7" max="7" width="6.85546875" style="235" customWidth="1"/>
    <col min="8" max="16384" width="9.140625" style="235"/>
  </cols>
  <sheetData>
    <row r="1" spans="1:7" ht="53.1" customHeight="1" x14ac:dyDescent="0.25">
      <c r="A1" s="592" t="s">
        <v>467</v>
      </c>
      <c r="B1" s="599"/>
      <c r="C1" s="599"/>
      <c r="D1" s="599"/>
      <c r="E1" s="599"/>
      <c r="F1" s="600"/>
      <c r="G1" s="294"/>
    </row>
    <row r="2" spans="1:7" s="226" customFormat="1" ht="60" customHeight="1" x14ac:dyDescent="0.25">
      <c r="A2" s="341" t="s">
        <v>197</v>
      </c>
      <c r="B2" s="342" t="s">
        <v>468</v>
      </c>
      <c r="C2" s="343" t="s">
        <v>473</v>
      </c>
      <c r="D2" s="531" t="s">
        <v>474</v>
      </c>
      <c r="E2" s="532"/>
      <c r="F2" s="342" t="s">
        <v>66</v>
      </c>
    </row>
    <row r="3" spans="1:7" ht="42.6" customHeight="1" x14ac:dyDescent="0.25">
      <c r="A3" s="329">
        <v>1</v>
      </c>
      <c r="B3" s="330" t="s">
        <v>469</v>
      </c>
      <c r="C3" s="287">
        <f ca="1">'3.Resumo'!E3</f>
        <v>14380.157371273401</v>
      </c>
      <c r="D3" s="601">
        <v>2</v>
      </c>
      <c r="E3" s="602"/>
      <c r="F3" s="287">
        <f ca="1">D3*C3</f>
        <v>28760.314742546801</v>
      </c>
    </row>
    <row r="4" spans="1:7" ht="30" customHeight="1" x14ac:dyDescent="0.25">
      <c r="A4" s="283">
        <v>2</v>
      </c>
      <c r="B4" s="331" t="s">
        <v>470</v>
      </c>
      <c r="C4" s="289">
        <f ca="1">'3.Resumo'!E4</f>
        <v>15725.007921485399</v>
      </c>
      <c r="D4" s="601">
        <v>2</v>
      </c>
      <c r="E4" s="602"/>
      <c r="F4" s="287">
        <f ca="1">D4*C4</f>
        <v>31450.015842970799</v>
      </c>
    </row>
    <row r="5" spans="1:7" ht="39.75" customHeight="1" x14ac:dyDescent="0.25">
      <c r="A5" s="329">
        <v>3</v>
      </c>
      <c r="B5" s="331" t="s">
        <v>471</v>
      </c>
      <c r="C5" s="287">
        <f ca="1">'3.Resumo'!E5</f>
        <v>7428.7104856366996</v>
      </c>
      <c r="D5" s="601">
        <v>3</v>
      </c>
      <c r="E5" s="602"/>
      <c r="F5" s="287">
        <f ca="1">D5*C5</f>
        <v>22286.131456910098</v>
      </c>
    </row>
    <row r="6" spans="1:7" ht="44.25" customHeight="1" x14ac:dyDescent="0.25">
      <c r="A6" s="329">
        <v>4</v>
      </c>
      <c r="B6" s="331" t="s">
        <v>472</v>
      </c>
      <c r="C6" s="287">
        <f ca="1">'3.Resumo'!E6</f>
        <v>7410.8946523033665</v>
      </c>
      <c r="D6" s="601">
        <v>2</v>
      </c>
      <c r="E6" s="602"/>
      <c r="F6" s="287">
        <f ca="1">D6*C6</f>
        <v>14821.789304606733</v>
      </c>
    </row>
    <row r="7" spans="1:7" s="286" customFormat="1" ht="21.6" customHeight="1" x14ac:dyDescent="0.25">
      <c r="A7" s="523" t="s">
        <v>428</v>
      </c>
      <c r="B7" s="524"/>
      <c r="C7" s="525"/>
      <c r="D7" s="526">
        <f>SUM(D3:E6)</f>
        <v>9</v>
      </c>
      <c r="E7" s="527"/>
      <c r="F7" s="291">
        <f ca="1">SUM(F3:F6)</f>
        <v>97318.251347034427</v>
      </c>
    </row>
  </sheetData>
  <mergeCells count="8">
    <mergeCell ref="A7:C7"/>
    <mergeCell ref="D7:E7"/>
    <mergeCell ref="A1:F1"/>
    <mergeCell ref="D2:E2"/>
    <mergeCell ref="D3:E3"/>
    <mergeCell ref="D4:E4"/>
    <mergeCell ref="D5:E5"/>
    <mergeCell ref="D6:E6"/>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2"/>
  <sheetViews>
    <sheetView showGridLines="0" zoomScaleNormal="100" workbookViewId="0">
      <selection activeCell="F4" sqref="F4"/>
    </sheetView>
  </sheetViews>
  <sheetFormatPr defaultRowHeight="15" x14ac:dyDescent="0.25"/>
  <cols>
    <col min="1" max="1" width="7.85546875" style="221" customWidth="1"/>
    <col min="2" max="2" width="29" customWidth="1"/>
    <col min="3" max="3" width="9" customWidth="1"/>
    <col min="4" max="4" width="10.28515625" customWidth="1"/>
    <col min="5" max="5" width="13.42578125" customWidth="1"/>
    <col min="6" max="6" width="16.7109375" bestFit="1" customWidth="1"/>
    <col min="7" max="7" width="16.85546875" customWidth="1"/>
    <col min="8" max="8" width="19.42578125" customWidth="1"/>
    <col min="9" max="9" width="13.5703125" hidden="1" customWidth="1"/>
    <col min="10" max="10" width="9" customWidth="1"/>
    <col min="11" max="11" width="14.42578125" bestFit="1" customWidth="1"/>
    <col min="260" max="260" width="7" bestFit="1" customWidth="1"/>
    <col min="261" max="261" width="44" bestFit="1" customWidth="1"/>
    <col min="262" max="262" width="9.42578125" bestFit="1" customWidth="1"/>
    <col min="263" max="263" width="13.7109375" bestFit="1" customWidth="1"/>
    <col min="264" max="264" width="16.85546875" bestFit="1" customWidth="1"/>
    <col min="266" max="266" width="25.7109375" bestFit="1" customWidth="1"/>
    <col min="267" max="267" width="12.5703125" bestFit="1" customWidth="1"/>
    <col min="516" max="516" width="7" bestFit="1" customWidth="1"/>
    <col min="517" max="517" width="44" bestFit="1" customWidth="1"/>
    <col min="518" max="518" width="9.42578125" bestFit="1" customWidth="1"/>
    <col min="519" max="519" width="13.7109375" bestFit="1" customWidth="1"/>
    <col min="520" max="520" width="16.85546875" bestFit="1" customWidth="1"/>
    <col min="522" max="522" width="25.7109375" bestFit="1" customWidth="1"/>
    <col min="523" max="523" width="12.5703125" bestFit="1" customWidth="1"/>
    <col min="772" max="772" width="7" bestFit="1" customWidth="1"/>
    <col min="773" max="773" width="44" bestFit="1" customWidth="1"/>
    <col min="774" max="774" width="9.42578125" bestFit="1" customWidth="1"/>
    <col min="775" max="775" width="13.7109375" bestFit="1" customWidth="1"/>
    <col min="776" max="776" width="16.85546875" bestFit="1" customWidth="1"/>
    <col min="778" max="778" width="25.7109375" bestFit="1" customWidth="1"/>
    <col min="779" max="779" width="12.5703125" bestFit="1" customWidth="1"/>
    <col min="1028" max="1028" width="7" bestFit="1" customWidth="1"/>
    <col min="1029" max="1029" width="44" bestFit="1" customWidth="1"/>
    <col min="1030" max="1030" width="9.42578125" bestFit="1" customWidth="1"/>
    <col min="1031" max="1031" width="13.7109375" bestFit="1" customWidth="1"/>
    <col min="1032" max="1032" width="16.85546875" bestFit="1" customWidth="1"/>
    <col min="1034" max="1034" width="25.7109375" bestFit="1" customWidth="1"/>
    <col min="1035" max="1035" width="12.5703125" bestFit="1" customWidth="1"/>
    <col min="1284" max="1284" width="7" bestFit="1" customWidth="1"/>
    <col min="1285" max="1285" width="44" bestFit="1" customWidth="1"/>
    <col min="1286" max="1286" width="9.42578125" bestFit="1" customWidth="1"/>
    <col min="1287" max="1287" width="13.7109375" bestFit="1" customWidth="1"/>
    <col min="1288" max="1288" width="16.85546875" bestFit="1" customWidth="1"/>
    <col min="1290" max="1290" width="25.7109375" bestFit="1" customWidth="1"/>
    <col min="1291" max="1291" width="12.5703125" bestFit="1" customWidth="1"/>
    <col min="1540" max="1540" width="7" bestFit="1" customWidth="1"/>
    <col min="1541" max="1541" width="44" bestFit="1" customWidth="1"/>
    <col min="1542" max="1542" width="9.42578125" bestFit="1" customWidth="1"/>
    <col min="1543" max="1543" width="13.7109375" bestFit="1" customWidth="1"/>
    <col min="1544" max="1544" width="16.85546875" bestFit="1" customWidth="1"/>
    <col min="1546" max="1546" width="25.7109375" bestFit="1" customWidth="1"/>
    <col min="1547" max="1547" width="12.5703125" bestFit="1" customWidth="1"/>
    <col min="1796" max="1796" width="7" bestFit="1" customWidth="1"/>
    <col min="1797" max="1797" width="44" bestFit="1" customWidth="1"/>
    <col min="1798" max="1798" width="9.42578125" bestFit="1" customWidth="1"/>
    <col min="1799" max="1799" width="13.7109375" bestFit="1" customWidth="1"/>
    <col min="1800" max="1800" width="16.85546875" bestFit="1" customWidth="1"/>
    <col min="1802" max="1802" width="25.7109375" bestFit="1" customWidth="1"/>
    <col min="1803" max="1803" width="12.5703125" bestFit="1" customWidth="1"/>
    <col min="2052" max="2052" width="7" bestFit="1" customWidth="1"/>
    <col min="2053" max="2053" width="44" bestFit="1" customWidth="1"/>
    <col min="2054" max="2054" width="9.42578125" bestFit="1" customWidth="1"/>
    <col min="2055" max="2055" width="13.7109375" bestFit="1" customWidth="1"/>
    <col min="2056" max="2056" width="16.85546875" bestFit="1" customWidth="1"/>
    <col min="2058" max="2058" width="25.7109375" bestFit="1" customWidth="1"/>
    <col min="2059" max="2059" width="12.5703125" bestFit="1" customWidth="1"/>
    <col min="2308" max="2308" width="7" bestFit="1" customWidth="1"/>
    <col min="2309" max="2309" width="44" bestFit="1" customWidth="1"/>
    <col min="2310" max="2310" width="9.42578125" bestFit="1" customWidth="1"/>
    <col min="2311" max="2311" width="13.7109375" bestFit="1" customWidth="1"/>
    <col min="2312" max="2312" width="16.85546875" bestFit="1" customWidth="1"/>
    <col min="2314" max="2314" width="25.7109375" bestFit="1" customWidth="1"/>
    <col min="2315" max="2315" width="12.5703125" bestFit="1" customWidth="1"/>
    <col min="2564" max="2564" width="7" bestFit="1" customWidth="1"/>
    <col min="2565" max="2565" width="44" bestFit="1" customWidth="1"/>
    <col min="2566" max="2566" width="9.42578125" bestFit="1" customWidth="1"/>
    <col min="2567" max="2567" width="13.7109375" bestFit="1" customWidth="1"/>
    <col min="2568" max="2568" width="16.85546875" bestFit="1" customWidth="1"/>
    <col min="2570" max="2570" width="25.7109375" bestFit="1" customWidth="1"/>
    <col min="2571" max="2571" width="12.5703125" bestFit="1" customWidth="1"/>
    <col min="2820" max="2820" width="7" bestFit="1" customWidth="1"/>
    <col min="2821" max="2821" width="44" bestFit="1" customWidth="1"/>
    <col min="2822" max="2822" width="9.42578125" bestFit="1" customWidth="1"/>
    <col min="2823" max="2823" width="13.7109375" bestFit="1" customWidth="1"/>
    <col min="2824" max="2824" width="16.85546875" bestFit="1" customWidth="1"/>
    <col min="2826" max="2826" width="25.7109375" bestFit="1" customWidth="1"/>
    <col min="2827" max="2827" width="12.5703125" bestFit="1" customWidth="1"/>
    <col min="3076" max="3076" width="7" bestFit="1" customWidth="1"/>
    <col min="3077" max="3077" width="44" bestFit="1" customWidth="1"/>
    <col min="3078" max="3078" width="9.42578125" bestFit="1" customWidth="1"/>
    <col min="3079" max="3079" width="13.7109375" bestFit="1" customWidth="1"/>
    <col min="3080" max="3080" width="16.85546875" bestFit="1" customWidth="1"/>
    <col min="3082" max="3082" width="25.7109375" bestFit="1" customWidth="1"/>
    <col min="3083" max="3083" width="12.5703125" bestFit="1" customWidth="1"/>
    <col min="3332" max="3332" width="7" bestFit="1" customWidth="1"/>
    <col min="3333" max="3333" width="44" bestFit="1" customWidth="1"/>
    <col min="3334" max="3334" width="9.42578125" bestFit="1" customWidth="1"/>
    <col min="3335" max="3335" width="13.7109375" bestFit="1" customWidth="1"/>
    <col min="3336" max="3336" width="16.85546875" bestFit="1" customWidth="1"/>
    <col min="3338" max="3338" width="25.7109375" bestFit="1" customWidth="1"/>
    <col min="3339" max="3339" width="12.5703125" bestFit="1" customWidth="1"/>
    <col min="3588" max="3588" width="7" bestFit="1" customWidth="1"/>
    <col min="3589" max="3589" width="44" bestFit="1" customWidth="1"/>
    <col min="3590" max="3590" width="9.42578125" bestFit="1" customWidth="1"/>
    <col min="3591" max="3591" width="13.7109375" bestFit="1" customWidth="1"/>
    <col min="3592" max="3592" width="16.85546875" bestFit="1" customWidth="1"/>
    <col min="3594" max="3594" width="25.7109375" bestFit="1" customWidth="1"/>
    <col min="3595" max="3595" width="12.5703125" bestFit="1" customWidth="1"/>
    <col min="3844" max="3844" width="7" bestFit="1" customWidth="1"/>
    <col min="3845" max="3845" width="44" bestFit="1" customWidth="1"/>
    <col min="3846" max="3846" width="9.42578125" bestFit="1" customWidth="1"/>
    <col min="3847" max="3847" width="13.7109375" bestFit="1" customWidth="1"/>
    <col min="3848" max="3848" width="16.85546875" bestFit="1" customWidth="1"/>
    <col min="3850" max="3850" width="25.7109375" bestFit="1" customWidth="1"/>
    <col min="3851" max="3851" width="12.5703125" bestFit="1" customWidth="1"/>
    <col min="4100" max="4100" width="7" bestFit="1" customWidth="1"/>
    <col min="4101" max="4101" width="44" bestFit="1" customWidth="1"/>
    <col min="4102" max="4102" width="9.42578125" bestFit="1" customWidth="1"/>
    <col min="4103" max="4103" width="13.7109375" bestFit="1" customWidth="1"/>
    <col min="4104" max="4104" width="16.85546875" bestFit="1" customWidth="1"/>
    <col min="4106" max="4106" width="25.7109375" bestFit="1" customWidth="1"/>
    <col min="4107" max="4107" width="12.5703125" bestFit="1" customWidth="1"/>
    <col min="4356" max="4356" width="7" bestFit="1" customWidth="1"/>
    <col min="4357" max="4357" width="44" bestFit="1" customWidth="1"/>
    <col min="4358" max="4358" width="9.42578125" bestFit="1" customWidth="1"/>
    <col min="4359" max="4359" width="13.7109375" bestFit="1" customWidth="1"/>
    <col min="4360" max="4360" width="16.85546875" bestFit="1" customWidth="1"/>
    <col min="4362" max="4362" width="25.7109375" bestFit="1" customWidth="1"/>
    <col min="4363" max="4363" width="12.5703125" bestFit="1" customWidth="1"/>
    <col min="4612" max="4612" width="7" bestFit="1" customWidth="1"/>
    <col min="4613" max="4613" width="44" bestFit="1" customWidth="1"/>
    <col min="4614" max="4614" width="9.42578125" bestFit="1" customWidth="1"/>
    <col min="4615" max="4615" width="13.7109375" bestFit="1" customWidth="1"/>
    <col min="4616" max="4616" width="16.85546875" bestFit="1" customWidth="1"/>
    <col min="4618" max="4618" width="25.7109375" bestFit="1" customWidth="1"/>
    <col min="4619" max="4619" width="12.5703125" bestFit="1" customWidth="1"/>
    <col min="4868" max="4868" width="7" bestFit="1" customWidth="1"/>
    <col min="4869" max="4869" width="44" bestFit="1" customWidth="1"/>
    <col min="4870" max="4870" width="9.42578125" bestFit="1" customWidth="1"/>
    <col min="4871" max="4871" width="13.7109375" bestFit="1" customWidth="1"/>
    <col min="4872" max="4872" width="16.85546875" bestFit="1" customWidth="1"/>
    <col min="4874" max="4874" width="25.7109375" bestFit="1" customWidth="1"/>
    <col min="4875" max="4875" width="12.5703125" bestFit="1" customWidth="1"/>
    <col min="5124" max="5124" width="7" bestFit="1" customWidth="1"/>
    <col min="5125" max="5125" width="44" bestFit="1" customWidth="1"/>
    <col min="5126" max="5126" width="9.42578125" bestFit="1" customWidth="1"/>
    <col min="5127" max="5127" width="13.7109375" bestFit="1" customWidth="1"/>
    <col min="5128" max="5128" width="16.85546875" bestFit="1" customWidth="1"/>
    <col min="5130" max="5130" width="25.7109375" bestFit="1" customWidth="1"/>
    <col min="5131" max="5131" width="12.5703125" bestFit="1" customWidth="1"/>
    <col min="5380" max="5380" width="7" bestFit="1" customWidth="1"/>
    <col min="5381" max="5381" width="44" bestFit="1" customWidth="1"/>
    <col min="5382" max="5382" width="9.42578125" bestFit="1" customWidth="1"/>
    <col min="5383" max="5383" width="13.7109375" bestFit="1" customWidth="1"/>
    <col min="5384" max="5384" width="16.85546875" bestFit="1" customWidth="1"/>
    <col min="5386" max="5386" width="25.7109375" bestFit="1" customWidth="1"/>
    <col min="5387" max="5387" width="12.5703125" bestFit="1" customWidth="1"/>
    <col min="5636" max="5636" width="7" bestFit="1" customWidth="1"/>
    <col min="5637" max="5637" width="44" bestFit="1" customWidth="1"/>
    <col min="5638" max="5638" width="9.42578125" bestFit="1" customWidth="1"/>
    <col min="5639" max="5639" width="13.7109375" bestFit="1" customWidth="1"/>
    <col min="5640" max="5640" width="16.85546875" bestFit="1" customWidth="1"/>
    <col min="5642" max="5642" width="25.7109375" bestFit="1" customWidth="1"/>
    <col min="5643" max="5643" width="12.5703125" bestFit="1" customWidth="1"/>
    <col min="5892" max="5892" width="7" bestFit="1" customWidth="1"/>
    <col min="5893" max="5893" width="44" bestFit="1" customWidth="1"/>
    <col min="5894" max="5894" width="9.42578125" bestFit="1" customWidth="1"/>
    <col min="5895" max="5895" width="13.7109375" bestFit="1" customWidth="1"/>
    <col min="5896" max="5896" width="16.85546875" bestFit="1" customWidth="1"/>
    <col min="5898" max="5898" width="25.7109375" bestFit="1" customWidth="1"/>
    <col min="5899" max="5899" width="12.5703125" bestFit="1" customWidth="1"/>
    <col min="6148" max="6148" width="7" bestFit="1" customWidth="1"/>
    <col min="6149" max="6149" width="44" bestFit="1" customWidth="1"/>
    <col min="6150" max="6150" width="9.42578125" bestFit="1" customWidth="1"/>
    <col min="6151" max="6151" width="13.7109375" bestFit="1" customWidth="1"/>
    <col min="6152" max="6152" width="16.85546875" bestFit="1" customWidth="1"/>
    <col min="6154" max="6154" width="25.7109375" bestFit="1" customWidth="1"/>
    <col min="6155" max="6155" width="12.5703125" bestFit="1" customWidth="1"/>
    <col min="6404" max="6404" width="7" bestFit="1" customWidth="1"/>
    <col min="6405" max="6405" width="44" bestFit="1" customWidth="1"/>
    <col min="6406" max="6406" width="9.42578125" bestFit="1" customWidth="1"/>
    <col min="6407" max="6407" width="13.7109375" bestFit="1" customWidth="1"/>
    <col min="6408" max="6408" width="16.85546875" bestFit="1" customWidth="1"/>
    <col min="6410" max="6410" width="25.7109375" bestFit="1" customWidth="1"/>
    <col min="6411" max="6411" width="12.5703125" bestFit="1" customWidth="1"/>
    <col min="6660" max="6660" width="7" bestFit="1" customWidth="1"/>
    <col min="6661" max="6661" width="44" bestFit="1" customWidth="1"/>
    <col min="6662" max="6662" width="9.42578125" bestFit="1" customWidth="1"/>
    <col min="6663" max="6663" width="13.7109375" bestFit="1" customWidth="1"/>
    <col min="6664" max="6664" width="16.85546875" bestFit="1" customWidth="1"/>
    <col min="6666" max="6666" width="25.7109375" bestFit="1" customWidth="1"/>
    <col min="6667" max="6667" width="12.5703125" bestFit="1" customWidth="1"/>
    <col min="6916" max="6916" width="7" bestFit="1" customWidth="1"/>
    <col min="6917" max="6917" width="44" bestFit="1" customWidth="1"/>
    <col min="6918" max="6918" width="9.42578125" bestFit="1" customWidth="1"/>
    <col min="6919" max="6919" width="13.7109375" bestFit="1" customWidth="1"/>
    <col min="6920" max="6920" width="16.85546875" bestFit="1" customWidth="1"/>
    <col min="6922" max="6922" width="25.7109375" bestFit="1" customWidth="1"/>
    <col min="6923" max="6923" width="12.5703125" bestFit="1" customWidth="1"/>
    <col min="7172" max="7172" width="7" bestFit="1" customWidth="1"/>
    <col min="7173" max="7173" width="44" bestFit="1" customWidth="1"/>
    <col min="7174" max="7174" width="9.42578125" bestFit="1" customWidth="1"/>
    <col min="7175" max="7175" width="13.7109375" bestFit="1" customWidth="1"/>
    <col min="7176" max="7176" width="16.85546875" bestFit="1" customWidth="1"/>
    <col min="7178" max="7178" width="25.7109375" bestFit="1" customWidth="1"/>
    <col min="7179" max="7179" width="12.5703125" bestFit="1" customWidth="1"/>
    <col min="7428" max="7428" width="7" bestFit="1" customWidth="1"/>
    <col min="7429" max="7429" width="44" bestFit="1" customWidth="1"/>
    <col min="7430" max="7430" width="9.42578125" bestFit="1" customWidth="1"/>
    <col min="7431" max="7431" width="13.7109375" bestFit="1" customWidth="1"/>
    <col min="7432" max="7432" width="16.85546875" bestFit="1" customWidth="1"/>
    <col min="7434" max="7434" width="25.7109375" bestFit="1" customWidth="1"/>
    <col min="7435" max="7435" width="12.5703125" bestFit="1" customWidth="1"/>
    <col min="7684" max="7684" width="7" bestFit="1" customWidth="1"/>
    <col min="7685" max="7685" width="44" bestFit="1" customWidth="1"/>
    <col min="7686" max="7686" width="9.42578125" bestFit="1" customWidth="1"/>
    <col min="7687" max="7687" width="13.7109375" bestFit="1" customWidth="1"/>
    <col min="7688" max="7688" width="16.85546875" bestFit="1" customWidth="1"/>
    <col min="7690" max="7690" width="25.7109375" bestFit="1" customWidth="1"/>
    <col min="7691" max="7691" width="12.5703125" bestFit="1" customWidth="1"/>
    <col min="7940" max="7940" width="7" bestFit="1" customWidth="1"/>
    <col min="7941" max="7941" width="44" bestFit="1" customWidth="1"/>
    <col min="7942" max="7942" width="9.42578125" bestFit="1" customWidth="1"/>
    <col min="7943" max="7943" width="13.7109375" bestFit="1" customWidth="1"/>
    <col min="7944" max="7944" width="16.85546875" bestFit="1" customWidth="1"/>
    <col min="7946" max="7946" width="25.7109375" bestFit="1" customWidth="1"/>
    <col min="7947" max="7947" width="12.5703125" bestFit="1" customWidth="1"/>
    <col min="8196" max="8196" width="7" bestFit="1" customWidth="1"/>
    <col min="8197" max="8197" width="44" bestFit="1" customWidth="1"/>
    <col min="8198" max="8198" width="9.42578125" bestFit="1" customWidth="1"/>
    <col min="8199" max="8199" width="13.7109375" bestFit="1" customWidth="1"/>
    <col min="8200" max="8200" width="16.85546875" bestFit="1" customWidth="1"/>
    <col min="8202" max="8202" width="25.7109375" bestFit="1" customWidth="1"/>
    <col min="8203" max="8203" width="12.5703125" bestFit="1" customWidth="1"/>
    <col min="8452" max="8452" width="7" bestFit="1" customWidth="1"/>
    <col min="8453" max="8453" width="44" bestFit="1" customWidth="1"/>
    <col min="8454" max="8454" width="9.42578125" bestFit="1" customWidth="1"/>
    <col min="8455" max="8455" width="13.7109375" bestFit="1" customWidth="1"/>
    <col min="8456" max="8456" width="16.85546875" bestFit="1" customWidth="1"/>
    <col min="8458" max="8458" width="25.7109375" bestFit="1" customWidth="1"/>
    <col min="8459" max="8459" width="12.5703125" bestFit="1" customWidth="1"/>
    <col min="8708" max="8708" width="7" bestFit="1" customWidth="1"/>
    <col min="8709" max="8709" width="44" bestFit="1" customWidth="1"/>
    <col min="8710" max="8710" width="9.42578125" bestFit="1" customWidth="1"/>
    <col min="8711" max="8711" width="13.7109375" bestFit="1" customWidth="1"/>
    <col min="8712" max="8712" width="16.85546875" bestFit="1" customWidth="1"/>
    <col min="8714" max="8714" width="25.7109375" bestFit="1" customWidth="1"/>
    <col min="8715" max="8715" width="12.5703125" bestFit="1" customWidth="1"/>
    <col min="8964" max="8964" width="7" bestFit="1" customWidth="1"/>
    <col min="8965" max="8965" width="44" bestFit="1" customWidth="1"/>
    <col min="8966" max="8966" width="9.42578125" bestFit="1" customWidth="1"/>
    <col min="8967" max="8967" width="13.7109375" bestFit="1" customWidth="1"/>
    <col min="8968" max="8968" width="16.85546875" bestFit="1" customWidth="1"/>
    <col min="8970" max="8970" width="25.7109375" bestFit="1" customWidth="1"/>
    <col min="8971" max="8971" width="12.5703125" bestFit="1" customWidth="1"/>
    <col min="9220" max="9220" width="7" bestFit="1" customWidth="1"/>
    <col min="9221" max="9221" width="44" bestFit="1" customWidth="1"/>
    <col min="9222" max="9222" width="9.42578125" bestFit="1" customWidth="1"/>
    <col min="9223" max="9223" width="13.7109375" bestFit="1" customWidth="1"/>
    <col min="9224" max="9224" width="16.85546875" bestFit="1" customWidth="1"/>
    <col min="9226" max="9226" width="25.7109375" bestFit="1" customWidth="1"/>
    <col min="9227" max="9227" width="12.5703125" bestFit="1" customWidth="1"/>
    <col min="9476" max="9476" width="7" bestFit="1" customWidth="1"/>
    <col min="9477" max="9477" width="44" bestFit="1" customWidth="1"/>
    <col min="9478" max="9478" width="9.42578125" bestFit="1" customWidth="1"/>
    <col min="9479" max="9479" width="13.7109375" bestFit="1" customWidth="1"/>
    <col min="9480" max="9480" width="16.85546875" bestFit="1" customWidth="1"/>
    <col min="9482" max="9482" width="25.7109375" bestFit="1" customWidth="1"/>
    <col min="9483" max="9483" width="12.5703125" bestFit="1" customWidth="1"/>
    <col min="9732" max="9732" width="7" bestFit="1" customWidth="1"/>
    <col min="9733" max="9733" width="44" bestFit="1" customWidth="1"/>
    <col min="9734" max="9734" width="9.42578125" bestFit="1" customWidth="1"/>
    <col min="9735" max="9735" width="13.7109375" bestFit="1" customWidth="1"/>
    <col min="9736" max="9736" width="16.85546875" bestFit="1" customWidth="1"/>
    <col min="9738" max="9738" width="25.7109375" bestFit="1" customWidth="1"/>
    <col min="9739" max="9739" width="12.5703125" bestFit="1" customWidth="1"/>
    <col min="9988" max="9988" width="7" bestFit="1" customWidth="1"/>
    <col min="9989" max="9989" width="44" bestFit="1" customWidth="1"/>
    <col min="9990" max="9990" width="9.42578125" bestFit="1" customWidth="1"/>
    <col min="9991" max="9991" width="13.7109375" bestFit="1" customWidth="1"/>
    <col min="9992" max="9992" width="16.85546875" bestFit="1" customWidth="1"/>
    <col min="9994" max="9994" width="25.7109375" bestFit="1" customWidth="1"/>
    <col min="9995" max="9995" width="12.5703125" bestFit="1" customWidth="1"/>
    <col min="10244" max="10244" width="7" bestFit="1" customWidth="1"/>
    <col min="10245" max="10245" width="44" bestFit="1" customWidth="1"/>
    <col min="10246" max="10246" width="9.42578125" bestFit="1" customWidth="1"/>
    <col min="10247" max="10247" width="13.7109375" bestFit="1" customWidth="1"/>
    <col min="10248" max="10248" width="16.85546875" bestFit="1" customWidth="1"/>
    <col min="10250" max="10250" width="25.7109375" bestFit="1" customWidth="1"/>
    <col min="10251" max="10251" width="12.5703125" bestFit="1" customWidth="1"/>
    <col min="10500" max="10500" width="7" bestFit="1" customWidth="1"/>
    <col min="10501" max="10501" width="44" bestFit="1" customWidth="1"/>
    <col min="10502" max="10502" width="9.42578125" bestFit="1" customWidth="1"/>
    <col min="10503" max="10503" width="13.7109375" bestFit="1" customWidth="1"/>
    <col min="10504" max="10504" width="16.85546875" bestFit="1" customWidth="1"/>
    <col min="10506" max="10506" width="25.7109375" bestFit="1" customWidth="1"/>
    <col min="10507" max="10507" width="12.5703125" bestFit="1" customWidth="1"/>
    <col min="10756" max="10756" width="7" bestFit="1" customWidth="1"/>
    <col min="10757" max="10757" width="44" bestFit="1" customWidth="1"/>
    <col min="10758" max="10758" width="9.42578125" bestFit="1" customWidth="1"/>
    <col min="10759" max="10759" width="13.7109375" bestFit="1" customWidth="1"/>
    <col min="10760" max="10760" width="16.85546875" bestFit="1" customWidth="1"/>
    <col min="10762" max="10762" width="25.7109375" bestFit="1" customWidth="1"/>
    <col min="10763" max="10763" width="12.5703125" bestFit="1" customWidth="1"/>
    <col min="11012" max="11012" width="7" bestFit="1" customWidth="1"/>
    <col min="11013" max="11013" width="44" bestFit="1" customWidth="1"/>
    <col min="11014" max="11014" width="9.42578125" bestFit="1" customWidth="1"/>
    <col min="11015" max="11015" width="13.7109375" bestFit="1" customWidth="1"/>
    <col min="11016" max="11016" width="16.85546875" bestFit="1" customWidth="1"/>
    <col min="11018" max="11018" width="25.7109375" bestFit="1" customWidth="1"/>
    <col min="11019" max="11019" width="12.5703125" bestFit="1" customWidth="1"/>
    <col min="11268" max="11268" width="7" bestFit="1" customWidth="1"/>
    <col min="11269" max="11269" width="44" bestFit="1" customWidth="1"/>
    <col min="11270" max="11270" width="9.42578125" bestFit="1" customWidth="1"/>
    <col min="11271" max="11271" width="13.7109375" bestFit="1" customWidth="1"/>
    <col min="11272" max="11272" width="16.85546875" bestFit="1" customWidth="1"/>
    <col min="11274" max="11274" width="25.7109375" bestFit="1" customWidth="1"/>
    <col min="11275" max="11275" width="12.5703125" bestFit="1" customWidth="1"/>
    <col min="11524" max="11524" width="7" bestFit="1" customWidth="1"/>
    <col min="11525" max="11525" width="44" bestFit="1" customWidth="1"/>
    <col min="11526" max="11526" width="9.42578125" bestFit="1" customWidth="1"/>
    <col min="11527" max="11527" width="13.7109375" bestFit="1" customWidth="1"/>
    <col min="11528" max="11528" width="16.85546875" bestFit="1" customWidth="1"/>
    <col min="11530" max="11530" width="25.7109375" bestFit="1" customWidth="1"/>
    <col min="11531" max="11531" width="12.5703125" bestFit="1" customWidth="1"/>
    <col min="11780" max="11780" width="7" bestFit="1" customWidth="1"/>
    <col min="11781" max="11781" width="44" bestFit="1" customWidth="1"/>
    <col min="11782" max="11782" width="9.42578125" bestFit="1" customWidth="1"/>
    <col min="11783" max="11783" width="13.7109375" bestFit="1" customWidth="1"/>
    <col min="11784" max="11784" width="16.85546875" bestFit="1" customWidth="1"/>
    <col min="11786" max="11786" width="25.7109375" bestFit="1" customWidth="1"/>
    <col min="11787" max="11787" width="12.5703125" bestFit="1" customWidth="1"/>
    <col min="12036" max="12036" width="7" bestFit="1" customWidth="1"/>
    <col min="12037" max="12037" width="44" bestFit="1" customWidth="1"/>
    <col min="12038" max="12038" width="9.42578125" bestFit="1" customWidth="1"/>
    <col min="12039" max="12039" width="13.7109375" bestFit="1" customWidth="1"/>
    <col min="12040" max="12040" width="16.85546875" bestFit="1" customWidth="1"/>
    <col min="12042" max="12042" width="25.7109375" bestFit="1" customWidth="1"/>
    <col min="12043" max="12043" width="12.5703125" bestFit="1" customWidth="1"/>
    <col min="12292" max="12292" width="7" bestFit="1" customWidth="1"/>
    <col min="12293" max="12293" width="44" bestFit="1" customWidth="1"/>
    <col min="12294" max="12294" width="9.42578125" bestFit="1" customWidth="1"/>
    <col min="12295" max="12295" width="13.7109375" bestFit="1" customWidth="1"/>
    <col min="12296" max="12296" width="16.85546875" bestFit="1" customWidth="1"/>
    <col min="12298" max="12298" width="25.7109375" bestFit="1" customWidth="1"/>
    <col min="12299" max="12299" width="12.5703125" bestFit="1" customWidth="1"/>
    <col min="12548" max="12548" width="7" bestFit="1" customWidth="1"/>
    <col min="12549" max="12549" width="44" bestFit="1" customWidth="1"/>
    <col min="12550" max="12550" width="9.42578125" bestFit="1" customWidth="1"/>
    <col min="12551" max="12551" width="13.7109375" bestFit="1" customWidth="1"/>
    <col min="12552" max="12552" width="16.85546875" bestFit="1" customWidth="1"/>
    <col min="12554" max="12554" width="25.7109375" bestFit="1" customWidth="1"/>
    <col min="12555" max="12555" width="12.5703125" bestFit="1" customWidth="1"/>
    <col min="12804" max="12804" width="7" bestFit="1" customWidth="1"/>
    <col min="12805" max="12805" width="44" bestFit="1" customWidth="1"/>
    <col min="12806" max="12806" width="9.42578125" bestFit="1" customWidth="1"/>
    <col min="12807" max="12807" width="13.7109375" bestFit="1" customWidth="1"/>
    <col min="12808" max="12808" width="16.85546875" bestFit="1" customWidth="1"/>
    <col min="12810" max="12810" width="25.7109375" bestFit="1" customWidth="1"/>
    <col min="12811" max="12811" width="12.5703125" bestFit="1" customWidth="1"/>
    <col min="13060" max="13060" width="7" bestFit="1" customWidth="1"/>
    <col min="13061" max="13061" width="44" bestFit="1" customWidth="1"/>
    <col min="13062" max="13062" width="9.42578125" bestFit="1" customWidth="1"/>
    <col min="13063" max="13063" width="13.7109375" bestFit="1" customWidth="1"/>
    <col min="13064" max="13064" width="16.85546875" bestFit="1" customWidth="1"/>
    <col min="13066" max="13066" width="25.7109375" bestFit="1" customWidth="1"/>
    <col min="13067" max="13067" width="12.5703125" bestFit="1" customWidth="1"/>
    <col min="13316" max="13316" width="7" bestFit="1" customWidth="1"/>
    <col min="13317" max="13317" width="44" bestFit="1" customWidth="1"/>
    <col min="13318" max="13318" width="9.42578125" bestFit="1" customWidth="1"/>
    <col min="13319" max="13319" width="13.7109375" bestFit="1" customWidth="1"/>
    <col min="13320" max="13320" width="16.85546875" bestFit="1" customWidth="1"/>
    <col min="13322" max="13322" width="25.7109375" bestFit="1" customWidth="1"/>
    <col min="13323" max="13323" width="12.5703125" bestFit="1" customWidth="1"/>
    <col min="13572" max="13572" width="7" bestFit="1" customWidth="1"/>
    <col min="13573" max="13573" width="44" bestFit="1" customWidth="1"/>
    <col min="13574" max="13574" width="9.42578125" bestFit="1" customWidth="1"/>
    <col min="13575" max="13575" width="13.7109375" bestFit="1" customWidth="1"/>
    <col min="13576" max="13576" width="16.85546875" bestFit="1" customWidth="1"/>
    <col min="13578" max="13578" width="25.7109375" bestFit="1" customWidth="1"/>
    <col min="13579" max="13579" width="12.5703125" bestFit="1" customWidth="1"/>
    <col min="13828" max="13828" width="7" bestFit="1" customWidth="1"/>
    <col min="13829" max="13829" width="44" bestFit="1" customWidth="1"/>
    <col min="13830" max="13830" width="9.42578125" bestFit="1" customWidth="1"/>
    <col min="13831" max="13831" width="13.7109375" bestFit="1" customWidth="1"/>
    <col min="13832" max="13832" width="16.85546875" bestFit="1" customWidth="1"/>
    <col min="13834" max="13834" width="25.7109375" bestFit="1" customWidth="1"/>
    <col min="13835" max="13835" width="12.5703125" bestFit="1" customWidth="1"/>
    <col min="14084" max="14084" width="7" bestFit="1" customWidth="1"/>
    <col min="14085" max="14085" width="44" bestFit="1" customWidth="1"/>
    <col min="14086" max="14086" width="9.42578125" bestFit="1" customWidth="1"/>
    <col min="14087" max="14087" width="13.7109375" bestFit="1" customWidth="1"/>
    <col min="14088" max="14088" width="16.85546875" bestFit="1" customWidth="1"/>
    <col min="14090" max="14090" width="25.7109375" bestFit="1" customWidth="1"/>
    <col min="14091" max="14091" width="12.5703125" bestFit="1" customWidth="1"/>
    <col min="14340" max="14340" width="7" bestFit="1" customWidth="1"/>
    <col min="14341" max="14341" width="44" bestFit="1" customWidth="1"/>
    <col min="14342" max="14342" width="9.42578125" bestFit="1" customWidth="1"/>
    <col min="14343" max="14343" width="13.7109375" bestFit="1" customWidth="1"/>
    <col min="14344" max="14344" width="16.85546875" bestFit="1" customWidth="1"/>
    <col min="14346" max="14346" width="25.7109375" bestFit="1" customWidth="1"/>
    <col min="14347" max="14347" width="12.5703125" bestFit="1" customWidth="1"/>
    <col min="14596" max="14596" width="7" bestFit="1" customWidth="1"/>
    <col min="14597" max="14597" width="44" bestFit="1" customWidth="1"/>
    <col min="14598" max="14598" width="9.42578125" bestFit="1" customWidth="1"/>
    <col min="14599" max="14599" width="13.7109375" bestFit="1" customWidth="1"/>
    <col min="14600" max="14600" width="16.85546875" bestFit="1" customWidth="1"/>
    <col min="14602" max="14602" width="25.7109375" bestFit="1" customWidth="1"/>
    <col min="14603" max="14603" width="12.5703125" bestFit="1" customWidth="1"/>
    <col min="14852" max="14852" width="7" bestFit="1" customWidth="1"/>
    <col min="14853" max="14853" width="44" bestFit="1" customWidth="1"/>
    <col min="14854" max="14854" width="9.42578125" bestFit="1" customWidth="1"/>
    <col min="14855" max="14855" width="13.7109375" bestFit="1" customWidth="1"/>
    <col min="14856" max="14856" width="16.85546875" bestFit="1" customWidth="1"/>
    <col min="14858" max="14858" width="25.7109375" bestFit="1" customWidth="1"/>
    <col min="14859" max="14859" width="12.5703125" bestFit="1" customWidth="1"/>
    <col min="15108" max="15108" width="7" bestFit="1" customWidth="1"/>
    <col min="15109" max="15109" width="44" bestFit="1" customWidth="1"/>
    <col min="15110" max="15110" width="9.42578125" bestFit="1" customWidth="1"/>
    <col min="15111" max="15111" width="13.7109375" bestFit="1" customWidth="1"/>
    <col min="15112" max="15112" width="16.85546875" bestFit="1" customWidth="1"/>
    <col min="15114" max="15114" width="25.7109375" bestFit="1" customWidth="1"/>
    <col min="15115" max="15115" width="12.5703125" bestFit="1" customWidth="1"/>
    <col min="15364" max="15364" width="7" bestFit="1" customWidth="1"/>
    <col min="15365" max="15365" width="44" bestFit="1" customWidth="1"/>
    <col min="15366" max="15366" width="9.42578125" bestFit="1" customWidth="1"/>
    <col min="15367" max="15367" width="13.7109375" bestFit="1" customWidth="1"/>
    <col min="15368" max="15368" width="16.85546875" bestFit="1" customWidth="1"/>
    <col min="15370" max="15370" width="25.7109375" bestFit="1" customWidth="1"/>
    <col min="15371" max="15371" width="12.5703125" bestFit="1" customWidth="1"/>
    <col min="15620" max="15620" width="7" bestFit="1" customWidth="1"/>
    <col min="15621" max="15621" width="44" bestFit="1" customWidth="1"/>
    <col min="15622" max="15622" width="9.42578125" bestFit="1" customWidth="1"/>
    <col min="15623" max="15623" width="13.7109375" bestFit="1" customWidth="1"/>
    <col min="15624" max="15624" width="16.85546875" bestFit="1" customWidth="1"/>
    <col min="15626" max="15626" width="25.7109375" bestFit="1" customWidth="1"/>
    <col min="15627" max="15627" width="12.5703125" bestFit="1" customWidth="1"/>
    <col min="15876" max="15876" width="7" bestFit="1" customWidth="1"/>
    <col min="15877" max="15877" width="44" bestFit="1" customWidth="1"/>
    <col min="15878" max="15878" width="9.42578125" bestFit="1" customWidth="1"/>
    <col min="15879" max="15879" width="13.7109375" bestFit="1" customWidth="1"/>
    <col min="15880" max="15880" width="16.85546875" bestFit="1" customWidth="1"/>
    <col min="15882" max="15882" width="25.7109375" bestFit="1" customWidth="1"/>
    <col min="15883" max="15883" width="12.5703125" bestFit="1" customWidth="1"/>
    <col min="16132" max="16132" width="7" bestFit="1" customWidth="1"/>
    <col min="16133" max="16133" width="44" bestFit="1" customWidth="1"/>
    <col min="16134" max="16134" width="9.42578125" bestFit="1" customWidth="1"/>
    <col min="16135" max="16135" width="13.7109375" bestFit="1" customWidth="1"/>
    <col min="16136" max="16136" width="16.85546875" bestFit="1" customWidth="1"/>
    <col min="16138" max="16138" width="25.7109375" bestFit="1" customWidth="1"/>
    <col min="16139" max="16139" width="12.5703125" bestFit="1" customWidth="1"/>
  </cols>
  <sheetData>
    <row r="1" spans="1:18" ht="18.75" customHeight="1" x14ac:dyDescent="0.25">
      <c r="A1" s="603" t="s">
        <v>475</v>
      </c>
      <c r="B1" s="603"/>
      <c r="C1" s="603"/>
      <c r="D1" s="603"/>
      <c r="E1" s="603"/>
      <c r="F1" s="603"/>
      <c r="G1" s="603"/>
      <c r="H1" s="603"/>
      <c r="I1" s="603"/>
    </row>
    <row r="2" spans="1:18" s="97" customFormat="1" ht="45" x14ac:dyDescent="0.25">
      <c r="A2" s="130" t="s">
        <v>69</v>
      </c>
      <c r="B2" s="99" t="s">
        <v>116</v>
      </c>
      <c r="C2" s="98" t="s">
        <v>486</v>
      </c>
      <c r="D2" s="222" t="s">
        <v>245</v>
      </c>
      <c r="E2" s="130" t="s">
        <v>246</v>
      </c>
      <c r="F2" s="130" t="s">
        <v>247</v>
      </c>
      <c r="G2" s="98" t="s">
        <v>248</v>
      </c>
      <c r="H2" s="98" t="s">
        <v>249</v>
      </c>
      <c r="I2" s="103" t="s">
        <v>0</v>
      </c>
    </row>
    <row r="3" spans="1:18" s="120" customFormat="1" ht="15" customHeight="1" x14ac:dyDescent="0.25">
      <c r="A3" s="220">
        <v>1</v>
      </c>
      <c r="B3" s="155" t="s">
        <v>238</v>
      </c>
      <c r="C3" s="220" t="s">
        <v>487</v>
      </c>
      <c r="D3" s="156">
        <v>4</v>
      </c>
      <c r="E3" s="156">
        <v>6</v>
      </c>
      <c r="F3" s="157">
        <v>45</v>
      </c>
      <c r="G3" s="157">
        <f t="shared" ref="G3:G10" si="0">F3*D3</f>
        <v>180</v>
      </c>
      <c r="H3" s="157">
        <f>ROUNDDOWN(G3/12,2)</f>
        <v>15</v>
      </c>
      <c r="I3" s="158" t="s">
        <v>130</v>
      </c>
      <c r="K3" s="121"/>
    </row>
    <row r="4" spans="1:18" s="120" customFormat="1" ht="15" customHeight="1" x14ac:dyDescent="0.25">
      <c r="A4" s="220">
        <v>2</v>
      </c>
      <c r="B4" s="155" t="s">
        <v>239</v>
      </c>
      <c r="C4" s="220" t="s">
        <v>488</v>
      </c>
      <c r="D4" s="156">
        <v>4</v>
      </c>
      <c r="E4" s="156">
        <v>6</v>
      </c>
      <c r="F4" s="157">
        <v>38.5</v>
      </c>
      <c r="G4" s="157">
        <f t="shared" si="0"/>
        <v>154</v>
      </c>
      <c r="H4" s="157">
        <f t="shared" ref="H4:H10" si="1">ROUNDDOWN(G4/12,2)</f>
        <v>12.83</v>
      </c>
      <c r="I4" s="158" t="s">
        <v>130</v>
      </c>
    </row>
    <row r="5" spans="1:18" s="120" customFormat="1" ht="15" customHeight="1" x14ac:dyDescent="0.25">
      <c r="A5" s="220">
        <v>3</v>
      </c>
      <c r="B5" s="155" t="s">
        <v>240</v>
      </c>
      <c r="C5" s="220" t="s">
        <v>488</v>
      </c>
      <c r="D5" s="156">
        <v>6</v>
      </c>
      <c r="E5" s="156">
        <v>6</v>
      </c>
      <c r="F5" s="157">
        <v>18.5</v>
      </c>
      <c r="G5" s="157">
        <f t="shared" si="0"/>
        <v>111</v>
      </c>
      <c r="H5" s="157">
        <f t="shared" si="1"/>
        <v>9.25</v>
      </c>
      <c r="I5" s="158" t="s">
        <v>130</v>
      </c>
      <c r="J5" s="133"/>
    </row>
    <row r="6" spans="1:18" s="120" customFormat="1" ht="15" customHeight="1" x14ac:dyDescent="0.25">
      <c r="A6" s="220">
        <v>4</v>
      </c>
      <c r="B6" s="155" t="s">
        <v>241</v>
      </c>
      <c r="C6" s="220" t="s">
        <v>488</v>
      </c>
      <c r="D6" s="156">
        <v>1</v>
      </c>
      <c r="E6" s="156">
        <v>12</v>
      </c>
      <c r="F6" s="157">
        <v>40</v>
      </c>
      <c r="G6" s="157">
        <f t="shared" si="0"/>
        <v>40</v>
      </c>
      <c r="H6" s="157">
        <f t="shared" si="1"/>
        <v>3.33</v>
      </c>
      <c r="I6" s="158" t="s">
        <v>130</v>
      </c>
      <c r="J6" s="133"/>
    </row>
    <row r="7" spans="1:18" s="120" customFormat="1" ht="15" customHeight="1" x14ac:dyDescent="0.25">
      <c r="A7" s="220">
        <v>5</v>
      </c>
      <c r="B7" s="155" t="s">
        <v>156</v>
      </c>
      <c r="C7" s="220" t="s">
        <v>488</v>
      </c>
      <c r="D7" s="156">
        <v>1</v>
      </c>
      <c r="E7" s="156">
        <v>12</v>
      </c>
      <c r="F7" s="157">
        <v>8</v>
      </c>
      <c r="G7" s="157">
        <f t="shared" si="0"/>
        <v>8</v>
      </c>
      <c r="H7" s="157">
        <f t="shared" si="1"/>
        <v>0.66</v>
      </c>
      <c r="I7" s="158" t="s">
        <v>217</v>
      </c>
      <c r="J7" s="192"/>
      <c r="K7" s="192"/>
      <c r="L7" s="192"/>
      <c r="M7" s="192"/>
      <c r="N7" s="192"/>
      <c r="O7" s="192"/>
      <c r="P7" s="192"/>
      <c r="Q7" s="192"/>
      <c r="R7" s="192"/>
    </row>
    <row r="8" spans="1:18" s="120" customFormat="1" ht="15" customHeight="1" x14ac:dyDescent="0.25">
      <c r="A8" s="220">
        <v>6</v>
      </c>
      <c r="B8" s="155" t="s">
        <v>242</v>
      </c>
      <c r="C8" s="220" t="s">
        <v>488</v>
      </c>
      <c r="D8" s="156">
        <v>4</v>
      </c>
      <c r="E8" s="156">
        <v>6</v>
      </c>
      <c r="F8" s="157">
        <v>9</v>
      </c>
      <c r="G8" s="157">
        <f t="shared" si="0"/>
        <v>36</v>
      </c>
      <c r="H8" s="157">
        <f t="shared" si="1"/>
        <v>3</v>
      </c>
      <c r="I8" s="158" t="s">
        <v>217</v>
      </c>
      <c r="K8" s="121"/>
    </row>
    <row r="9" spans="1:18" s="120" customFormat="1" ht="15" customHeight="1" x14ac:dyDescent="0.25">
      <c r="A9" s="220">
        <v>7</v>
      </c>
      <c r="B9" s="155" t="s">
        <v>243</v>
      </c>
      <c r="C9" s="220" t="s">
        <v>488</v>
      </c>
      <c r="D9" s="156">
        <v>2</v>
      </c>
      <c r="E9" s="156">
        <v>6</v>
      </c>
      <c r="F9" s="157">
        <v>10</v>
      </c>
      <c r="G9" s="157">
        <f t="shared" si="0"/>
        <v>20</v>
      </c>
      <c r="H9" s="157">
        <f t="shared" si="1"/>
        <v>1.66</v>
      </c>
      <c r="I9" s="158" t="s">
        <v>217</v>
      </c>
      <c r="J9" s="192"/>
      <c r="K9" s="192"/>
      <c r="L9" s="192"/>
      <c r="M9" s="192"/>
      <c r="N9" s="192"/>
      <c r="O9" s="192"/>
      <c r="P9" s="192"/>
      <c r="Q9" s="192"/>
      <c r="R9" s="192"/>
    </row>
    <row r="10" spans="1:18" s="120" customFormat="1" ht="15" customHeight="1" x14ac:dyDescent="0.25">
      <c r="A10" s="220">
        <v>8</v>
      </c>
      <c r="B10" s="155" t="s">
        <v>244</v>
      </c>
      <c r="C10" s="220" t="s">
        <v>489</v>
      </c>
      <c r="D10" s="156">
        <v>6</v>
      </c>
      <c r="E10" s="156">
        <v>6</v>
      </c>
      <c r="F10" s="157">
        <v>1.97</v>
      </c>
      <c r="G10" s="157">
        <f t="shared" si="0"/>
        <v>11.82</v>
      </c>
      <c r="H10" s="157">
        <f t="shared" si="1"/>
        <v>0.98</v>
      </c>
      <c r="I10" s="158" t="s">
        <v>217</v>
      </c>
      <c r="K10" s="121"/>
    </row>
    <row r="11" spans="1:18" ht="15.75" x14ac:dyDescent="0.25">
      <c r="A11" s="604" t="s">
        <v>110</v>
      </c>
      <c r="B11" s="605"/>
      <c r="C11" s="605"/>
      <c r="D11" s="606"/>
      <c r="E11" s="219"/>
      <c r="F11" s="101"/>
      <c r="G11" s="102">
        <f>SUM(G3:G10)</f>
        <v>560.82000000000005</v>
      </c>
      <c r="H11" s="102">
        <f>SUM(H3:H10)</f>
        <v>46.709999999999987</v>
      </c>
      <c r="I11" s="104"/>
      <c r="J11" s="192"/>
      <c r="K11" s="192"/>
      <c r="L11" s="192"/>
      <c r="M11" s="192"/>
      <c r="N11" s="192"/>
      <c r="O11" s="192"/>
      <c r="P11" s="192"/>
      <c r="Q11" s="192"/>
      <c r="R11" s="192"/>
    </row>
    <row r="12" spans="1:18" ht="16.5" customHeight="1" x14ac:dyDescent="0.25">
      <c r="J12" s="192"/>
      <c r="K12" s="192"/>
      <c r="L12" s="192"/>
      <c r="M12" s="192"/>
      <c r="N12" s="192"/>
      <c r="O12" s="192"/>
      <c r="P12" s="192"/>
      <c r="Q12" s="192"/>
      <c r="R12" s="192"/>
    </row>
  </sheetData>
  <mergeCells count="2">
    <mergeCell ref="A1:I1"/>
    <mergeCell ref="A11:D11"/>
  </mergeCells>
  <pageMargins left="0.511811024" right="0.511811024" top="0.78740157499999996" bottom="0.78740157499999996" header="0.31496062000000002" footer="0.31496062000000002"/>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4"/>
  <sheetViews>
    <sheetView showGridLines="0" topLeftCell="B19" zoomScale="78" zoomScaleNormal="78" workbookViewId="0">
      <selection activeCell="G4" sqref="G4"/>
    </sheetView>
  </sheetViews>
  <sheetFormatPr defaultRowHeight="15" x14ac:dyDescent="0.25"/>
  <cols>
    <col min="1" max="1" width="7" style="120" hidden="1" customWidth="1"/>
    <col min="2" max="2" width="7" style="120" bestFit="1" customWidth="1"/>
    <col min="3" max="3" width="34.5703125" style="120" customWidth="1"/>
    <col min="4" max="4" width="11.7109375" style="120" customWidth="1"/>
    <col min="5" max="5" width="10.28515625" style="120" customWidth="1"/>
    <col min="6" max="6" width="13.140625" style="120" customWidth="1"/>
    <col min="7" max="7" width="19.28515625" style="120" customWidth="1"/>
    <col min="8" max="9" width="19.42578125" style="120" customWidth="1"/>
    <col min="10" max="10" width="12.5703125" style="120" bestFit="1" customWidth="1"/>
    <col min="11" max="258" width="9.140625" style="120"/>
    <col min="259" max="259" width="7" style="120" bestFit="1" customWidth="1"/>
    <col min="260" max="260" width="44" style="120" bestFit="1" customWidth="1"/>
    <col min="261" max="261" width="9.42578125" style="120" bestFit="1" customWidth="1"/>
    <col min="262" max="262" width="13.7109375" style="120" bestFit="1" customWidth="1"/>
    <col min="263" max="263" width="16.85546875" style="120" bestFit="1" customWidth="1"/>
    <col min="264" max="264" width="9.140625" style="120"/>
    <col min="265" max="265" width="25.7109375" style="120" bestFit="1" customWidth="1"/>
    <col min="266" max="266" width="12.5703125" style="120" bestFit="1" customWidth="1"/>
    <col min="267" max="514" width="9.140625" style="120"/>
    <col min="515" max="515" width="7" style="120" bestFit="1" customWidth="1"/>
    <col min="516" max="516" width="44" style="120" bestFit="1" customWidth="1"/>
    <col min="517" max="517" width="9.42578125" style="120" bestFit="1" customWidth="1"/>
    <col min="518" max="518" width="13.7109375" style="120" bestFit="1" customWidth="1"/>
    <col min="519" max="519" width="16.85546875" style="120" bestFit="1" customWidth="1"/>
    <col min="520" max="520" width="9.140625" style="120"/>
    <col min="521" max="521" width="25.7109375" style="120" bestFit="1" customWidth="1"/>
    <col min="522" max="522" width="12.5703125" style="120" bestFit="1" customWidth="1"/>
    <col min="523" max="770" width="9.140625" style="120"/>
    <col min="771" max="771" width="7" style="120" bestFit="1" customWidth="1"/>
    <col min="772" max="772" width="44" style="120" bestFit="1" customWidth="1"/>
    <col min="773" max="773" width="9.42578125" style="120" bestFit="1" customWidth="1"/>
    <col min="774" max="774" width="13.7109375" style="120" bestFit="1" customWidth="1"/>
    <col min="775" max="775" width="16.85546875" style="120" bestFit="1" customWidth="1"/>
    <col min="776" max="776" width="9.140625" style="120"/>
    <col min="777" max="777" width="25.7109375" style="120" bestFit="1" customWidth="1"/>
    <col min="778" max="778" width="12.5703125" style="120" bestFit="1" customWidth="1"/>
    <col min="779" max="1026" width="9.140625" style="120"/>
    <col min="1027" max="1027" width="7" style="120" bestFit="1" customWidth="1"/>
    <col min="1028" max="1028" width="44" style="120" bestFit="1" customWidth="1"/>
    <col min="1029" max="1029" width="9.42578125" style="120" bestFit="1" customWidth="1"/>
    <col min="1030" max="1030" width="13.7109375" style="120" bestFit="1" customWidth="1"/>
    <col min="1031" max="1031" width="16.85546875" style="120" bestFit="1" customWidth="1"/>
    <col min="1032" max="1032" width="9.140625" style="120"/>
    <col min="1033" max="1033" width="25.7109375" style="120" bestFit="1" customWidth="1"/>
    <col min="1034" max="1034" width="12.5703125" style="120" bestFit="1" customWidth="1"/>
    <col min="1035" max="1282" width="9.140625" style="120"/>
    <col min="1283" max="1283" width="7" style="120" bestFit="1" customWidth="1"/>
    <col min="1284" max="1284" width="44" style="120" bestFit="1" customWidth="1"/>
    <col min="1285" max="1285" width="9.42578125" style="120" bestFit="1" customWidth="1"/>
    <col min="1286" max="1286" width="13.7109375" style="120" bestFit="1" customWidth="1"/>
    <col min="1287" max="1287" width="16.85546875" style="120" bestFit="1" customWidth="1"/>
    <col min="1288" max="1288" width="9.140625" style="120"/>
    <col min="1289" max="1289" width="25.7109375" style="120" bestFit="1" customWidth="1"/>
    <col min="1290" max="1290" width="12.5703125" style="120" bestFit="1" customWidth="1"/>
    <col min="1291" max="1538" width="9.140625" style="120"/>
    <col min="1539" max="1539" width="7" style="120" bestFit="1" customWidth="1"/>
    <col min="1540" max="1540" width="44" style="120" bestFit="1" customWidth="1"/>
    <col min="1541" max="1541" width="9.42578125" style="120" bestFit="1" customWidth="1"/>
    <col min="1542" max="1542" width="13.7109375" style="120" bestFit="1" customWidth="1"/>
    <col min="1543" max="1543" width="16.85546875" style="120" bestFit="1" customWidth="1"/>
    <col min="1544" max="1544" width="9.140625" style="120"/>
    <col min="1545" max="1545" width="25.7109375" style="120" bestFit="1" customWidth="1"/>
    <col min="1546" max="1546" width="12.5703125" style="120" bestFit="1" customWidth="1"/>
    <col min="1547" max="1794" width="9.140625" style="120"/>
    <col min="1795" max="1795" width="7" style="120" bestFit="1" customWidth="1"/>
    <col min="1796" max="1796" width="44" style="120" bestFit="1" customWidth="1"/>
    <col min="1797" max="1797" width="9.42578125" style="120" bestFit="1" customWidth="1"/>
    <col min="1798" max="1798" width="13.7109375" style="120" bestFit="1" customWidth="1"/>
    <col min="1799" max="1799" width="16.85546875" style="120" bestFit="1" customWidth="1"/>
    <col min="1800" max="1800" width="9.140625" style="120"/>
    <col min="1801" max="1801" width="25.7109375" style="120" bestFit="1" customWidth="1"/>
    <col min="1802" max="1802" width="12.5703125" style="120" bestFit="1" customWidth="1"/>
    <col min="1803" max="2050" width="9.140625" style="120"/>
    <col min="2051" max="2051" width="7" style="120" bestFit="1" customWidth="1"/>
    <col min="2052" max="2052" width="44" style="120" bestFit="1" customWidth="1"/>
    <col min="2053" max="2053" width="9.42578125" style="120" bestFit="1" customWidth="1"/>
    <col min="2054" max="2054" width="13.7109375" style="120" bestFit="1" customWidth="1"/>
    <col min="2055" max="2055" width="16.85546875" style="120" bestFit="1" customWidth="1"/>
    <col min="2056" max="2056" width="9.140625" style="120"/>
    <col min="2057" max="2057" width="25.7109375" style="120" bestFit="1" customWidth="1"/>
    <col min="2058" max="2058" width="12.5703125" style="120" bestFit="1" customWidth="1"/>
    <col min="2059" max="2306" width="9.140625" style="120"/>
    <col min="2307" max="2307" width="7" style="120" bestFit="1" customWidth="1"/>
    <col min="2308" max="2308" width="44" style="120" bestFit="1" customWidth="1"/>
    <col min="2309" max="2309" width="9.42578125" style="120" bestFit="1" customWidth="1"/>
    <col min="2310" max="2310" width="13.7109375" style="120" bestFit="1" customWidth="1"/>
    <col min="2311" max="2311" width="16.85546875" style="120" bestFit="1" customWidth="1"/>
    <col min="2312" max="2312" width="9.140625" style="120"/>
    <col min="2313" max="2313" width="25.7109375" style="120" bestFit="1" customWidth="1"/>
    <col min="2314" max="2314" width="12.5703125" style="120" bestFit="1" customWidth="1"/>
    <col min="2315" max="2562" width="9.140625" style="120"/>
    <col min="2563" max="2563" width="7" style="120" bestFit="1" customWidth="1"/>
    <col min="2564" max="2564" width="44" style="120" bestFit="1" customWidth="1"/>
    <col min="2565" max="2565" width="9.42578125" style="120" bestFit="1" customWidth="1"/>
    <col min="2566" max="2566" width="13.7109375" style="120" bestFit="1" customWidth="1"/>
    <col min="2567" max="2567" width="16.85546875" style="120" bestFit="1" customWidth="1"/>
    <col min="2568" max="2568" width="9.140625" style="120"/>
    <col min="2569" max="2569" width="25.7109375" style="120" bestFit="1" customWidth="1"/>
    <col min="2570" max="2570" width="12.5703125" style="120" bestFit="1" customWidth="1"/>
    <col min="2571" max="2818" width="9.140625" style="120"/>
    <col min="2819" max="2819" width="7" style="120" bestFit="1" customWidth="1"/>
    <col min="2820" max="2820" width="44" style="120" bestFit="1" customWidth="1"/>
    <col min="2821" max="2821" width="9.42578125" style="120" bestFit="1" customWidth="1"/>
    <col min="2822" max="2822" width="13.7109375" style="120" bestFit="1" customWidth="1"/>
    <col min="2823" max="2823" width="16.85546875" style="120" bestFit="1" customWidth="1"/>
    <col min="2824" max="2824" width="9.140625" style="120"/>
    <col min="2825" max="2825" width="25.7109375" style="120" bestFit="1" customWidth="1"/>
    <col min="2826" max="2826" width="12.5703125" style="120" bestFit="1" customWidth="1"/>
    <col min="2827" max="3074" width="9.140625" style="120"/>
    <col min="3075" max="3075" width="7" style="120" bestFit="1" customWidth="1"/>
    <col min="3076" max="3076" width="44" style="120" bestFit="1" customWidth="1"/>
    <col min="3077" max="3077" width="9.42578125" style="120" bestFit="1" customWidth="1"/>
    <col min="3078" max="3078" width="13.7109375" style="120" bestFit="1" customWidth="1"/>
    <col min="3079" max="3079" width="16.85546875" style="120" bestFit="1" customWidth="1"/>
    <col min="3080" max="3080" width="9.140625" style="120"/>
    <col min="3081" max="3081" width="25.7109375" style="120" bestFit="1" customWidth="1"/>
    <col min="3082" max="3082" width="12.5703125" style="120" bestFit="1" customWidth="1"/>
    <col min="3083" max="3330" width="9.140625" style="120"/>
    <col min="3331" max="3331" width="7" style="120" bestFit="1" customWidth="1"/>
    <col min="3332" max="3332" width="44" style="120" bestFit="1" customWidth="1"/>
    <col min="3333" max="3333" width="9.42578125" style="120" bestFit="1" customWidth="1"/>
    <col min="3334" max="3334" width="13.7109375" style="120" bestFit="1" customWidth="1"/>
    <col min="3335" max="3335" width="16.85546875" style="120" bestFit="1" customWidth="1"/>
    <col min="3336" max="3336" width="9.140625" style="120"/>
    <col min="3337" max="3337" width="25.7109375" style="120" bestFit="1" customWidth="1"/>
    <col min="3338" max="3338" width="12.5703125" style="120" bestFit="1" customWidth="1"/>
    <col min="3339" max="3586" width="9.140625" style="120"/>
    <col min="3587" max="3587" width="7" style="120" bestFit="1" customWidth="1"/>
    <col min="3588" max="3588" width="44" style="120" bestFit="1" customWidth="1"/>
    <col min="3589" max="3589" width="9.42578125" style="120" bestFit="1" customWidth="1"/>
    <col min="3590" max="3590" width="13.7109375" style="120" bestFit="1" customWidth="1"/>
    <col min="3591" max="3591" width="16.85546875" style="120" bestFit="1" customWidth="1"/>
    <col min="3592" max="3592" width="9.140625" style="120"/>
    <col min="3593" max="3593" width="25.7109375" style="120" bestFit="1" customWidth="1"/>
    <col min="3594" max="3594" width="12.5703125" style="120" bestFit="1" customWidth="1"/>
    <col min="3595" max="3842" width="9.140625" style="120"/>
    <col min="3843" max="3843" width="7" style="120" bestFit="1" customWidth="1"/>
    <col min="3844" max="3844" width="44" style="120" bestFit="1" customWidth="1"/>
    <col min="3845" max="3845" width="9.42578125" style="120" bestFit="1" customWidth="1"/>
    <col min="3846" max="3846" width="13.7109375" style="120" bestFit="1" customWidth="1"/>
    <col min="3847" max="3847" width="16.85546875" style="120" bestFit="1" customWidth="1"/>
    <col min="3848" max="3848" width="9.140625" style="120"/>
    <col min="3849" max="3849" width="25.7109375" style="120" bestFit="1" customWidth="1"/>
    <col min="3850" max="3850" width="12.5703125" style="120" bestFit="1" customWidth="1"/>
    <col min="3851" max="4098" width="9.140625" style="120"/>
    <col min="4099" max="4099" width="7" style="120" bestFit="1" customWidth="1"/>
    <col min="4100" max="4100" width="44" style="120" bestFit="1" customWidth="1"/>
    <col min="4101" max="4101" width="9.42578125" style="120" bestFit="1" customWidth="1"/>
    <col min="4102" max="4102" width="13.7109375" style="120" bestFit="1" customWidth="1"/>
    <col min="4103" max="4103" width="16.85546875" style="120" bestFit="1" customWidth="1"/>
    <col min="4104" max="4104" width="9.140625" style="120"/>
    <col min="4105" max="4105" width="25.7109375" style="120" bestFit="1" customWidth="1"/>
    <col min="4106" max="4106" width="12.5703125" style="120" bestFit="1" customWidth="1"/>
    <col min="4107" max="4354" width="9.140625" style="120"/>
    <col min="4355" max="4355" width="7" style="120" bestFit="1" customWidth="1"/>
    <col min="4356" max="4356" width="44" style="120" bestFit="1" customWidth="1"/>
    <col min="4357" max="4357" width="9.42578125" style="120" bestFit="1" customWidth="1"/>
    <col min="4358" max="4358" width="13.7109375" style="120" bestFit="1" customWidth="1"/>
    <col min="4359" max="4359" width="16.85546875" style="120" bestFit="1" customWidth="1"/>
    <col min="4360" max="4360" width="9.140625" style="120"/>
    <col min="4361" max="4361" width="25.7109375" style="120" bestFit="1" customWidth="1"/>
    <col min="4362" max="4362" width="12.5703125" style="120" bestFit="1" customWidth="1"/>
    <col min="4363" max="4610" width="9.140625" style="120"/>
    <col min="4611" max="4611" width="7" style="120" bestFit="1" customWidth="1"/>
    <col min="4612" max="4612" width="44" style="120" bestFit="1" customWidth="1"/>
    <col min="4613" max="4613" width="9.42578125" style="120" bestFit="1" customWidth="1"/>
    <col min="4614" max="4614" width="13.7109375" style="120" bestFit="1" customWidth="1"/>
    <col min="4615" max="4615" width="16.85546875" style="120" bestFit="1" customWidth="1"/>
    <col min="4616" max="4616" width="9.140625" style="120"/>
    <col min="4617" max="4617" width="25.7109375" style="120" bestFit="1" customWidth="1"/>
    <col min="4618" max="4618" width="12.5703125" style="120" bestFit="1" customWidth="1"/>
    <col min="4619" max="4866" width="9.140625" style="120"/>
    <col min="4867" max="4867" width="7" style="120" bestFit="1" customWidth="1"/>
    <col min="4868" max="4868" width="44" style="120" bestFit="1" customWidth="1"/>
    <col min="4869" max="4869" width="9.42578125" style="120" bestFit="1" customWidth="1"/>
    <col min="4870" max="4870" width="13.7109375" style="120" bestFit="1" customWidth="1"/>
    <col min="4871" max="4871" width="16.85546875" style="120" bestFit="1" customWidth="1"/>
    <col min="4872" max="4872" width="9.140625" style="120"/>
    <col min="4873" max="4873" width="25.7109375" style="120" bestFit="1" customWidth="1"/>
    <col min="4874" max="4874" width="12.5703125" style="120" bestFit="1" customWidth="1"/>
    <col min="4875" max="5122" width="9.140625" style="120"/>
    <col min="5123" max="5123" width="7" style="120" bestFit="1" customWidth="1"/>
    <col min="5124" max="5124" width="44" style="120" bestFit="1" customWidth="1"/>
    <col min="5125" max="5125" width="9.42578125" style="120" bestFit="1" customWidth="1"/>
    <col min="5126" max="5126" width="13.7109375" style="120" bestFit="1" customWidth="1"/>
    <col min="5127" max="5127" width="16.85546875" style="120" bestFit="1" customWidth="1"/>
    <col min="5128" max="5128" width="9.140625" style="120"/>
    <col min="5129" max="5129" width="25.7109375" style="120" bestFit="1" customWidth="1"/>
    <col min="5130" max="5130" width="12.5703125" style="120" bestFit="1" customWidth="1"/>
    <col min="5131" max="5378" width="9.140625" style="120"/>
    <col min="5379" max="5379" width="7" style="120" bestFit="1" customWidth="1"/>
    <col min="5380" max="5380" width="44" style="120" bestFit="1" customWidth="1"/>
    <col min="5381" max="5381" width="9.42578125" style="120" bestFit="1" customWidth="1"/>
    <col min="5382" max="5382" width="13.7109375" style="120" bestFit="1" customWidth="1"/>
    <col min="5383" max="5383" width="16.85546875" style="120" bestFit="1" customWidth="1"/>
    <col min="5384" max="5384" width="9.140625" style="120"/>
    <col min="5385" max="5385" width="25.7109375" style="120" bestFit="1" customWidth="1"/>
    <col min="5386" max="5386" width="12.5703125" style="120" bestFit="1" customWidth="1"/>
    <col min="5387" max="5634" width="9.140625" style="120"/>
    <col min="5635" max="5635" width="7" style="120" bestFit="1" customWidth="1"/>
    <col min="5636" max="5636" width="44" style="120" bestFit="1" customWidth="1"/>
    <col min="5637" max="5637" width="9.42578125" style="120" bestFit="1" customWidth="1"/>
    <col min="5638" max="5638" width="13.7109375" style="120" bestFit="1" customWidth="1"/>
    <col min="5639" max="5639" width="16.85546875" style="120" bestFit="1" customWidth="1"/>
    <col min="5640" max="5640" width="9.140625" style="120"/>
    <col min="5641" max="5641" width="25.7109375" style="120" bestFit="1" customWidth="1"/>
    <col min="5642" max="5642" width="12.5703125" style="120" bestFit="1" customWidth="1"/>
    <col min="5643" max="5890" width="9.140625" style="120"/>
    <col min="5891" max="5891" width="7" style="120" bestFit="1" customWidth="1"/>
    <col min="5892" max="5892" width="44" style="120" bestFit="1" customWidth="1"/>
    <col min="5893" max="5893" width="9.42578125" style="120" bestFit="1" customWidth="1"/>
    <col min="5894" max="5894" width="13.7109375" style="120" bestFit="1" customWidth="1"/>
    <col min="5895" max="5895" width="16.85546875" style="120" bestFit="1" customWidth="1"/>
    <col min="5896" max="5896" width="9.140625" style="120"/>
    <col min="5897" max="5897" width="25.7109375" style="120" bestFit="1" customWidth="1"/>
    <col min="5898" max="5898" width="12.5703125" style="120" bestFit="1" customWidth="1"/>
    <col min="5899" max="6146" width="9.140625" style="120"/>
    <col min="6147" max="6147" width="7" style="120" bestFit="1" customWidth="1"/>
    <col min="6148" max="6148" width="44" style="120" bestFit="1" customWidth="1"/>
    <col min="6149" max="6149" width="9.42578125" style="120" bestFit="1" customWidth="1"/>
    <col min="6150" max="6150" width="13.7109375" style="120" bestFit="1" customWidth="1"/>
    <col min="6151" max="6151" width="16.85546875" style="120" bestFit="1" customWidth="1"/>
    <col min="6152" max="6152" width="9.140625" style="120"/>
    <col min="6153" max="6153" width="25.7109375" style="120" bestFit="1" customWidth="1"/>
    <col min="6154" max="6154" width="12.5703125" style="120" bestFit="1" customWidth="1"/>
    <col min="6155" max="6402" width="9.140625" style="120"/>
    <col min="6403" max="6403" width="7" style="120" bestFit="1" customWidth="1"/>
    <col min="6404" max="6404" width="44" style="120" bestFit="1" customWidth="1"/>
    <col min="6405" max="6405" width="9.42578125" style="120" bestFit="1" customWidth="1"/>
    <col min="6406" max="6406" width="13.7109375" style="120" bestFit="1" customWidth="1"/>
    <col min="6407" max="6407" width="16.85546875" style="120" bestFit="1" customWidth="1"/>
    <col min="6408" max="6408" width="9.140625" style="120"/>
    <col min="6409" max="6409" width="25.7109375" style="120" bestFit="1" customWidth="1"/>
    <col min="6410" max="6410" width="12.5703125" style="120" bestFit="1" customWidth="1"/>
    <col min="6411" max="6658" width="9.140625" style="120"/>
    <col min="6659" max="6659" width="7" style="120" bestFit="1" customWidth="1"/>
    <col min="6660" max="6660" width="44" style="120" bestFit="1" customWidth="1"/>
    <col min="6661" max="6661" width="9.42578125" style="120" bestFit="1" customWidth="1"/>
    <col min="6662" max="6662" width="13.7109375" style="120" bestFit="1" customWidth="1"/>
    <col min="6663" max="6663" width="16.85546875" style="120" bestFit="1" customWidth="1"/>
    <col min="6664" max="6664" width="9.140625" style="120"/>
    <col min="6665" max="6665" width="25.7109375" style="120" bestFit="1" customWidth="1"/>
    <col min="6666" max="6666" width="12.5703125" style="120" bestFit="1" customWidth="1"/>
    <col min="6667" max="6914" width="9.140625" style="120"/>
    <col min="6915" max="6915" width="7" style="120" bestFit="1" customWidth="1"/>
    <col min="6916" max="6916" width="44" style="120" bestFit="1" customWidth="1"/>
    <col min="6917" max="6917" width="9.42578125" style="120" bestFit="1" customWidth="1"/>
    <col min="6918" max="6918" width="13.7109375" style="120" bestFit="1" customWidth="1"/>
    <col min="6919" max="6919" width="16.85546875" style="120" bestFit="1" customWidth="1"/>
    <col min="6920" max="6920" width="9.140625" style="120"/>
    <col min="6921" max="6921" width="25.7109375" style="120" bestFit="1" customWidth="1"/>
    <col min="6922" max="6922" width="12.5703125" style="120" bestFit="1" customWidth="1"/>
    <col min="6923" max="7170" width="9.140625" style="120"/>
    <col min="7171" max="7171" width="7" style="120" bestFit="1" customWidth="1"/>
    <col min="7172" max="7172" width="44" style="120" bestFit="1" customWidth="1"/>
    <col min="7173" max="7173" width="9.42578125" style="120" bestFit="1" customWidth="1"/>
    <col min="7174" max="7174" width="13.7109375" style="120" bestFit="1" customWidth="1"/>
    <col min="7175" max="7175" width="16.85546875" style="120" bestFit="1" customWidth="1"/>
    <col min="7176" max="7176" width="9.140625" style="120"/>
    <col min="7177" max="7177" width="25.7109375" style="120" bestFit="1" customWidth="1"/>
    <col min="7178" max="7178" width="12.5703125" style="120" bestFit="1" customWidth="1"/>
    <col min="7179" max="7426" width="9.140625" style="120"/>
    <col min="7427" max="7427" width="7" style="120" bestFit="1" customWidth="1"/>
    <col min="7428" max="7428" width="44" style="120" bestFit="1" customWidth="1"/>
    <col min="7429" max="7429" width="9.42578125" style="120" bestFit="1" customWidth="1"/>
    <col min="7430" max="7430" width="13.7109375" style="120" bestFit="1" customWidth="1"/>
    <col min="7431" max="7431" width="16.85546875" style="120" bestFit="1" customWidth="1"/>
    <col min="7432" max="7432" width="9.140625" style="120"/>
    <col min="7433" max="7433" width="25.7109375" style="120" bestFit="1" customWidth="1"/>
    <col min="7434" max="7434" width="12.5703125" style="120" bestFit="1" customWidth="1"/>
    <col min="7435" max="7682" width="9.140625" style="120"/>
    <col min="7683" max="7683" width="7" style="120" bestFit="1" customWidth="1"/>
    <col min="7684" max="7684" width="44" style="120" bestFit="1" customWidth="1"/>
    <col min="7685" max="7685" width="9.42578125" style="120" bestFit="1" customWidth="1"/>
    <col min="7686" max="7686" width="13.7109375" style="120" bestFit="1" customWidth="1"/>
    <col min="7687" max="7687" width="16.85546875" style="120" bestFit="1" customWidth="1"/>
    <col min="7688" max="7688" width="9.140625" style="120"/>
    <col min="7689" max="7689" width="25.7109375" style="120" bestFit="1" customWidth="1"/>
    <col min="7690" max="7690" width="12.5703125" style="120" bestFit="1" customWidth="1"/>
    <col min="7691" max="7938" width="9.140625" style="120"/>
    <col min="7939" max="7939" width="7" style="120" bestFit="1" customWidth="1"/>
    <col min="7940" max="7940" width="44" style="120" bestFit="1" customWidth="1"/>
    <col min="7941" max="7941" width="9.42578125" style="120" bestFit="1" customWidth="1"/>
    <col min="7942" max="7942" width="13.7109375" style="120" bestFit="1" customWidth="1"/>
    <col min="7943" max="7943" width="16.85546875" style="120" bestFit="1" customWidth="1"/>
    <col min="7944" max="7944" width="9.140625" style="120"/>
    <col min="7945" max="7945" width="25.7109375" style="120" bestFit="1" customWidth="1"/>
    <col min="7946" max="7946" width="12.5703125" style="120" bestFit="1" customWidth="1"/>
    <col min="7947" max="8194" width="9.140625" style="120"/>
    <col min="8195" max="8195" width="7" style="120" bestFit="1" customWidth="1"/>
    <col min="8196" max="8196" width="44" style="120" bestFit="1" customWidth="1"/>
    <col min="8197" max="8197" width="9.42578125" style="120" bestFit="1" customWidth="1"/>
    <col min="8198" max="8198" width="13.7109375" style="120" bestFit="1" customWidth="1"/>
    <col min="8199" max="8199" width="16.85546875" style="120" bestFit="1" customWidth="1"/>
    <col min="8200" max="8200" width="9.140625" style="120"/>
    <col min="8201" max="8201" width="25.7109375" style="120" bestFit="1" customWidth="1"/>
    <col min="8202" max="8202" width="12.5703125" style="120" bestFit="1" customWidth="1"/>
    <col min="8203" max="8450" width="9.140625" style="120"/>
    <col min="8451" max="8451" width="7" style="120" bestFit="1" customWidth="1"/>
    <col min="8452" max="8452" width="44" style="120" bestFit="1" customWidth="1"/>
    <col min="8453" max="8453" width="9.42578125" style="120" bestFit="1" customWidth="1"/>
    <col min="8454" max="8454" width="13.7109375" style="120" bestFit="1" customWidth="1"/>
    <col min="8455" max="8455" width="16.85546875" style="120" bestFit="1" customWidth="1"/>
    <col min="8456" max="8456" width="9.140625" style="120"/>
    <col min="8457" max="8457" width="25.7109375" style="120" bestFit="1" customWidth="1"/>
    <col min="8458" max="8458" width="12.5703125" style="120" bestFit="1" customWidth="1"/>
    <col min="8459" max="8706" width="9.140625" style="120"/>
    <col min="8707" max="8707" width="7" style="120" bestFit="1" customWidth="1"/>
    <col min="8708" max="8708" width="44" style="120" bestFit="1" customWidth="1"/>
    <col min="8709" max="8709" width="9.42578125" style="120" bestFit="1" customWidth="1"/>
    <col min="8710" max="8710" width="13.7109375" style="120" bestFit="1" customWidth="1"/>
    <col min="8711" max="8711" width="16.85546875" style="120" bestFit="1" customWidth="1"/>
    <col min="8712" max="8712" width="9.140625" style="120"/>
    <col min="8713" max="8713" width="25.7109375" style="120" bestFit="1" customWidth="1"/>
    <col min="8714" max="8714" width="12.5703125" style="120" bestFit="1" customWidth="1"/>
    <col min="8715" max="8962" width="9.140625" style="120"/>
    <col min="8963" max="8963" width="7" style="120" bestFit="1" customWidth="1"/>
    <col min="8964" max="8964" width="44" style="120" bestFit="1" customWidth="1"/>
    <col min="8965" max="8965" width="9.42578125" style="120" bestFit="1" customWidth="1"/>
    <col min="8966" max="8966" width="13.7109375" style="120" bestFit="1" customWidth="1"/>
    <col min="8967" max="8967" width="16.85546875" style="120" bestFit="1" customWidth="1"/>
    <col min="8968" max="8968" width="9.140625" style="120"/>
    <col min="8969" max="8969" width="25.7109375" style="120" bestFit="1" customWidth="1"/>
    <col min="8970" max="8970" width="12.5703125" style="120" bestFit="1" customWidth="1"/>
    <col min="8971" max="9218" width="9.140625" style="120"/>
    <col min="9219" max="9219" width="7" style="120" bestFit="1" customWidth="1"/>
    <col min="9220" max="9220" width="44" style="120" bestFit="1" customWidth="1"/>
    <col min="9221" max="9221" width="9.42578125" style="120" bestFit="1" customWidth="1"/>
    <col min="9222" max="9222" width="13.7109375" style="120" bestFit="1" customWidth="1"/>
    <col min="9223" max="9223" width="16.85546875" style="120" bestFit="1" customWidth="1"/>
    <col min="9224" max="9224" width="9.140625" style="120"/>
    <col min="9225" max="9225" width="25.7109375" style="120" bestFit="1" customWidth="1"/>
    <col min="9226" max="9226" width="12.5703125" style="120" bestFit="1" customWidth="1"/>
    <col min="9227" max="9474" width="9.140625" style="120"/>
    <col min="9475" max="9475" width="7" style="120" bestFit="1" customWidth="1"/>
    <col min="9476" max="9476" width="44" style="120" bestFit="1" customWidth="1"/>
    <col min="9477" max="9477" width="9.42578125" style="120" bestFit="1" customWidth="1"/>
    <col min="9478" max="9478" width="13.7109375" style="120" bestFit="1" customWidth="1"/>
    <col min="9479" max="9479" width="16.85546875" style="120" bestFit="1" customWidth="1"/>
    <col min="9480" max="9480" width="9.140625" style="120"/>
    <col min="9481" max="9481" width="25.7109375" style="120" bestFit="1" customWidth="1"/>
    <col min="9482" max="9482" width="12.5703125" style="120" bestFit="1" customWidth="1"/>
    <col min="9483" max="9730" width="9.140625" style="120"/>
    <col min="9731" max="9731" width="7" style="120" bestFit="1" customWidth="1"/>
    <col min="9732" max="9732" width="44" style="120" bestFit="1" customWidth="1"/>
    <col min="9733" max="9733" width="9.42578125" style="120" bestFit="1" customWidth="1"/>
    <col min="9734" max="9734" width="13.7109375" style="120" bestFit="1" customWidth="1"/>
    <col min="9735" max="9735" width="16.85546875" style="120" bestFit="1" customWidth="1"/>
    <col min="9736" max="9736" width="9.140625" style="120"/>
    <col min="9737" max="9737" width="25.7109375" style="120" bestFit="1" customWidth="1"/>
    <col min="9738" max="9738" width="12.5703125" style="120" bestFit="1" customWidth="1"/>
    <col min="9739" max="9986" width="9.140625" style="120"/>
    <col min="9987" max="9987" width="7" style="120" bestFit="1" customWidth="1"/>
    <col min="9988" max="9988" width="44" style="120" bestFit="1" customWidth="1"/>
    <col min="9989" max="9989" width="9.42578125" style="120" bestFit="1" customWidth="1"/>
    <col min="9990" max="9990" width="13.7109375" style="120" bestFit="1" customWidth="1"/>
    <col min="9991" max="9991" width="16.85546875" style="120" bestFit="1" customWidth="1"/>
    <col min="9992" max="9992" width="9.140625" style="120"/>
    <col min="9993" max="9993" width="25.7109375" style="120" bestFit="1" customWidth="1"/>
    <col min="9994" max="9994" width="12.5703125" style="120" bestFit="1" customWidth="1"/>
    <col min="9995" max="10242" width="9.140625" style="120"/>
    <col min="10243" max="10243" width="7" style="120" bestFit="1" customWidth="1"/>
    <col min="10244" max="10244" width="44" style="120" bestFit="1" customWidth="1"/>
    <col min="10245" max="10245" width="9.42578125" style="120" bestFit="1" customWidth="1"/>
    <col min="10246" max="10246" width="13.7109375" style="120" bestFit="1" customWidth="1"/>
    <col min="10247" max="10247" width="16.85546875" style="120" bestFit="1" customWidth="1"/>
    <col min="10248" max="10248" width="9.140625" style="120"/>
    <col min="10249" max="10249" width="25.7109375" style="120" bestFit="1" customWidth="1"/>
    <col min="10250" max="10250" width="12.5703125" style="120" bestFit="1" customWidth="1"/>
    <col min="10251" max="10498" width="9.140625" style="120"/>
    <col min="10499" max="10499" width="7" style="120" bestFit="1" customWidth="1"/>
    <col min="10500" max="10500" width="44" style="120" bestFit="1" customWidth="1"/>
    <col min="10501" max="10501" width="9.42578125" style="120" bestFit="1" customWidth="1"/>
    <col min="10502" max="10502" width="13.7109375" style="120" bestFit="1" customWidth="1"/>
    <col min="10503" max="10503" width="16.85546875" style="120" bestFit="1" customWidth="1"/>
    <col min="10504" max="10504" width="9.140625" style="120"/>
    <col min="10505" max="10505" width="25.7109375" style="120" bestFit="1" customWidth="1"/>
    <col min="10506" max="10506" width="12.5703125" style="120" bestFit="1" customWidth="1"/>
    <col min="10507" max="10754" width="9.140625" style="120"/>
    <col min="10755" max="10755" width="7" style="120" bestFit="1" customWidth="1"/>
    <col min="10756" max="10756" width="44" style="120" bestFit="1" customWidth="1"/>
    <col min="10757" max="10757" width="9.42578125" style="120" bestFit="1" customWidth="1"/>
    <col min="10758" max="10758" width="13.7109375" style="120" bestFit="1" customWidth="1"/>
    <col min="10759" max="10759" width="16.85546875" style="120" bestFit="1" customWidth="1"/>
    <col min="10760" max="10760" width="9.140625" style="120"/>
    <col min="10761" max="10761" width="25.7109375" style="120" bestFit="1" customWidth="1"/>
    <col min="10762" max="10762" width="12.5703125" style="120" bestFit="1" customWidth="1"/>
    <col min="10763" max="11010" width="9.140625" style="120"/>
    <col min="11011" max="11011" width="7" style="120" bestFit="1" customWidth="1"/>
    <col min="11012" max="11012" width="44" style="120" bestFit="1" customWidth="1"/>
    <col min="11013" max="11013" width="9.42578125" style="120" bestFit="1" customWidth="1"/>
    <col min="11014" max="11014" width="13.7109375" style="120" bestFit="1" customWidth="1"/>
    <col min="11015" max="11015" width="16.85546875" style="120" bestFit="1" customWidth="1"/>
    <col min="11016" max="11016" width="9.140625" style="120"/>
    <col min="11017" max="11017" width="25.7109375" style="120" bestFit="1" customWidth="1"/>
    <col min="11018" max="11018" width="12.5703125" style="120" bestFit="1" customWidth="1"/>
    <col min="11019" max="11266" width="9.140625" style="120"/>
    <col min="11267" max="11267" width="7" style="120" bestFit="1" customWidth="1"/>
    <col min="11268" max="11268" width="44" style="120" bestFit="1" customWidth="1"/>
    <col min="11269" max="11269" width="9.42578125" style="120" bestFit="1" customWidth="1"/>
    <col min="11270" max="11270" width="13.7109375" style="120" bestFit="1" customWidth="1"/>
    <col min="11271" max="11271" width="16.85546875" style="120" bestFit="1" customWidth="1"/>
    <col min="11272" max="11272" width="9.140625" style="120"/>
    <col min="11273" max="11273" width="25.7109375" style="120" bestFit="1" customWidth="1"/>
    <col min="11274" max="11274" width="12.5703125" style="120" bestFit="1" customWidth="1"/>
    <col min="11275" max="11522" width="9.140625" style="120"/>
    <col min="11523" max="11523" width="7" style="120" bestFit="1" customWidth="1"/>
    <col min="11524" max="11524" width="44" style="120" bestFit="1" customWidth="1"/>
    <col min="11525" max="11525" width="9.42578125" style="120" bestFit="1" customWidth="1"/>
    <col min="11526" max="11526" width="13.7109375" style="120" bestFit="1" customWidth="1"/>
    <col min="11527" max="11527" width="16.85546875" style="120" bestFit="1" customWidth="1"/>
    <col min="11528" max="11528" width="9.140625" style="120"/>
    <col min="11529" max="11529" width="25.7109375" style="120" bestFit="1" customWidth="1"/>
    <col min="11530" max="11530" width="12.5703125" style="120" bestFit="1" customWidth="1"/>
    <col min="11531" max="11778" width="9.140625" style="120"/>
    <col min="11779" max="11779" width="7" style="120" bestFit="1" customWidth="1"/>
    <col min="11780" max="11780" width="44" style="120" bestFit="1" customWidth="1"/>
    <col min="11781" max="11781" width="9.42578125" style="120" bestFit="1" customWidth="1"/>
    <col min="11782" max="11782" width="13.7109375" style="120" bestFit="1" customWidth="1"/>
    <col min="11783" max="11783" width="16.85546875" style="120" bestFit="1" customWidth="1"/>
    <col min="11784" max="11784" width="9.140625" style="120"/>
    <col min="11785" max="11785" width="25.7109375" style="120" bestFit="1" customWidth="1"/>
    <col min="11786" max="11786" width="12.5703125" style="120" bestFit="1" customWidth="1"/>
    <col min="11787" max="12034" width="9.140625" style="120"/>
    <col min="12035" max="12035" width="7" style="120" bestFit="1" customWidth="1"/>
    <col min="12036" max="12036" width="44" style="120" bestFit="1" customWidth="1"/>
    <col min="12037" max="12037" width="9.42578125" style="120" bestFit="1" customWidth="1"/>
    <col min="12038" max="12038" width="13.7109375" style="120" bestFit="1" customWidth="1"/>
    <col min="12039" max="12039" width="16.85546875" style="120" bestFit="1" customWidth="1"/>
    <col min="12040" max="12040" width="9.140625" style="120"/>
    <col min="12041" max="12041" width="25.7109375" style="120" bestFit="1" customWidth="1"/>
    <col min="12042" max="12042" width="12.5703125" style="120" bestFit="1" customWidth="1"/>
    <col min="12043" max="12290" width="9.140625" style="120"/>
    <col min="12291" max="12291" width="7" style="120" bestFit="1" customWidth="1"/>
    <col min="12292" max="12292" width="44" style="120" bestFit="1" customWidth="1"/>
    <col min="12293" max="12293" width="9.42578125" style="120" bestFit="1" customWidth="1"/>
    <col min="12294" max="12294" width="13.7109375" style="120" bestFit="1" customWidth="1"/>
    <col min="12295" max="12295" width="16.85546875" style="120" bestFit="1" customWidth="1"/>
    <col min="12296" max="12296" width="9.140625" style="120"/>
    <col min="12297" max="12297" width="25.7109375" style="120" bestFit="1" customWidth="1"/>
    <col min="12298" max="12298" width="12.5703125" style="120" bestFit="1" customWidth="1"/>
    <col min="12299" max="12546" width="9.140625" style="120"/>
    <col min="12547" max="12547" width="7" style="120" bestFit="1" customWidth="1"/>
    <col min="12548" max="12548" width="44" style="120" bestFit="1" customWidth="1"/>
    <col min="12549" max="12549" width="9.42578125" style="120" bestFit="1" customWidth="1"/>
    <col min="12550" max="12550" width="13.7109375" style="120" bestFit="1" customWidth="1"/>
    <col min="12551" max="12551" width="16.85546875" style="120" bestFit="1" customWidth="1"/>
    <col min="12552" max="12552" width="9.140625" style="120"/>
    <col min="12553" max="12553" width="25.7109375" style="120" bestFit="1" customWidth="1"/>
    <col min="12554" max="12554" width="12.5703125" style="120" bestFit="1" customWidth="1"/>
    <col min="12555" max="12802" width="9.140625" style="120"/>
    <col min="12803" max="12803" width="7" style="120" bestFit="1" customWidth="1"/>
    <col min="12804" max="12804" width="44" style="120" bestFit="1" customWidth="1"/>
    <col min="12805" max="12805" width="9.42578125" style="120" bestFit="1" customWidth="1"/>
    <col min="12806" max="12806" width="13.7109375" style="120" bestFit="1" customWidth="1"/>
    <col min="12807" max="12807" width="16.85546875" style="120" bestFit="1" customWidth="1"/>
    <col min="12808" max="12808" width="9.140625" style="120"/>
    <col min="12809" max="12809" width="25.7109375" style="120" bestFit="1" customWidth="1"/>
    <col min="12810" max="12810" width="12.5703125" style="120" bestFit="1" customWidth="1"/>
    <col min="12811" max="13058" width="9.140625" style="120"/>
    <col min="13059" max="13059" width="7" style="120" bestFit="1" customWidth="1"/>
    <col min="13060" max="13060" width="44" style="120" bestFit="1" customWidth="1"/>
    <col min="13061" max="13061" width="9.42578125" style="120" bestFit="1" customWidth="1"/>
    <col min="13062" max="13062" width="13.7109375" style="120" bestFit="1" customWidth="1"/>
    <col min="13063" max="13063" width="16.85546875" style="120" bestFit="1" customWidth="1"/>
    <col min="13064" max="13064" width="9.140625" style="120"/>
    <col min="13065" max="13065" width="25.7109375" style="120" bestFit="1" customWidth="1"/>
    <col min="13066" max="13066" width="12.5703125" style="120" bestFit="1" customWidth="1"/>
    <col min="13067" max="13314" width="9.140625" style="120"/>
    <col min="13315" max="13315" width="7" style="120" bestFit="1" customWidth="1"/>
    <col min="13316" max="13316" width="44" style="120" bestFit="1" customWidth="1"/>
    <col min="13317" max="13317" width="9.42578125" style="120" bestFit="1" customWidth="1"/>
    <col min="13318" max="13318" width="13.7109375" style="120" bestFit="1" customWidth="1"/>
    <col min="13319" max="13319" width="16.85546875" style="120" bestFit="1" customWidth="1"/>
    <col min="13320" max="13320" width="9.140625" style="120"/>
    <col min="13321" max="13321" width="25.7109375" style="120" bestFit="1" customWidth="1"/>
    <col min="13322" max="13322" width="12.5703125" style="120" bestFit="1" customWidth="1"/>
    <col min="13323" max="13570" width="9.140625" style="120"/>
    <col min="13571" max="13571" width="7" style="120" bestFit="1" customWidth="1"/>
    <col min="13572" max="13572" width="44" style="120" bestFit="1" customWidth="1"/>
    <col min="13573" max="13573" width="9.42578125" style="120" bestFit="1" customWidth="1"/>
    <col min="13574" max="13574" width="13.7109375" style="120" bestFit="1" customWidth="1"/>
    <col min="13575" max="13575" width="16.85546875" style="120" bestFit="1" customWidth="1"/>
    <col min="13576" max="13576" width="9.140625" style="120"/>
    <col min="13577" max="13577" width="25.7109375" style="120" bestFit="1" customWidth="1"/>
    <col min="13578" max="13578" width="12.5703125" style="120" bestFit="1" customWidth="1"/>
    <col min="13579" max="13826" width="9.140625" style="120"/>
    <col min="13827" max="13827" width="7" style="120" bestFit="1" customWidth="1"/>
    <col min="13828" max="13828" width="44" style="120" bestFit="1" customWidth="1"/>
    <col min="13829" max="13829" width="9.42578125" style="120" bestFit="1" customWidth="1"/>
    <col min="13830" max="13830" width="13.7109375" style="120" bestFit="1" customWidth="1"/>
    <col min="13831" max="13831" width="16.85546875" style="120" bestFit="1" customWidth="1"/>
    <col min="13832" max="13832" width="9.140625" style="120"/>
    <col min="13833" max="13833" width="25.7109375" style="120" bestFit="1" customWidth="1"/>
    <col min="13834" max="13834" width="12.5703125" style="120" bestFit="1" customWidth="1"/>
    <col min="13835" max="14082" width="9.140625" style="120"/>
    <col min="14083" max="14083" width="7" style="120" bestFit="1" customWidth="1"/>
    <col min="14084" max="14084" width="44" style="120" bestFit="1" customWidth="1"/>
    <col min="14085" max="14085" width="9.42578125" style="120" bestFit="1" customWidth="1"/>
    <col min="14086" max="14086" width="13.7109375" style="120" bestFit="1" customWidth="1"/>
    <col min="14087" max="14087" width="16.85546875" style="120" bestFit="1" customWidth="1"/>
    <col min="14088" max="14088" width="9.140625" style="120"/>
    <col min="14089" max="14089" width="25.7109375" style="120" bestFit="1" customWidth="1"/>
    <col min="14090" max="14090" width="12.5703125" style="120" bestFit="1" customWidth="1"/>
    <col min="14091" max="14338" width="9.140625" style="120"/>
    <col min="14339" max="14339" width="7" style="120" bestFit="1" customWidth="1"/>
    <col min="14340" max="14340" width="44" style="120" bestFit="1" customWidth="1"/>
    <col min="14341" max="14341" width="9.42578125" style="120" bestFit="1" customWidth="1"/>
    <col min="14342" max="14342" width="13.7109375" style="120" bestFit="1" customWidth="1"/>
    <col min="14343" max="14343" width="16.85546875" style="120" bestFit="1" customWidth="1"/>
    <col min="14344" max="14344" width="9.140625" style="120"/>
    <col min="14345" max="14345" width="25.7109375" style="120" bestFit="1" customWidth="1"/>
    <col min="14346" max="14346" width="12.5703125" style="120" bestFit="1" customWidth="1"/>
    <col min="14347" max="14594" width="9.140625" style="120"/>
    <col min="14595" max="14595" width="7" style="120" bestFit="1" customWidth="1"/>
    <col min="14596" max="14596" width="44" style="120" bestFit="1" customWidth="1"/>
    <col min="14597" max="14597" width="9.42578125" style="120" bestFit="1" customWidth="1"/>
    <col min="14598" max="14598" width="13.7109375" style="120" bestFit="1" customWidth="1"/>
    <col min="14599" max="14599" width="16.85546875" style="120" bestFit="1" customWidth="1"/>
    <col min="14600" max="14600" width="9.140625" style="120"/>
    <col min="14601" max="14601" width="25.7109375" style="120" bestFit="1" customWidth="1"/>
    <col min="14602" max="14602" width="12.5703125" style="120" bestFit="1" customWidth="1"/>
    <col min="14603" max="14850" width="9.140625" style="120"/>
    <col min="14851" max="14851" width="7" style="120" bestFit="1" customWidth="1"/>
    <col min="14852" max="14852" width="44" style="120" bestFit="1" customWidth="1"/>
    <col min="14853" max="14853" width="9.42578125" style="120" bestFit="1" customWidth="1"/>
    <col min="14854" max="14854" width="13.7109375" style="120" bestFit="1" customWidth="1"/>
    <col min="14855" max="14855" width="16.85546875" style="120" bestFit="1" customWidth="1"/>
    <col min="14856" max="14856" width="9.140625" style="120"/>
    <col min="14857" max="14857" width="25.7109375" style="120" bestFit="1" customWidth="1"/>
    <col min="14858" max="14858" width="12.5703125" style="120" bestFit="1" customWidth="1"/>
    <col min="14859" max="15106" width="9.140625" style="120"/>
    <col min="15107" max="15107" width="7" style="120" bestFit="1" customWidth="1"/>
    <col min="15108" max="15108" width="44" style="120" bestFit="1" customWidth="1"/>
    <col min="15109" max="15109" width="9.42578125" style="120" bestFit="1" customWidth="1"/>
    <col min="15110" max="15110" width="13.7109375" style="120" bestFit="1" customWidth="1"/>
    <col min="15111" max="15111" width="16.85546875" style="120" bestFit="1" customWidth="1"/>
    <col min="15112" max="15112" width="9.140625" style="120"/>
    <col min="15113" max="15113" width="25.7109375" style="120" bestFit="1" customWidth="1"/>
    <col min="15114" max="15114" width="12.5703125" style="120" bestFit="1" customWidth="1"/>
    <col min="15115" max="15362" width="9.140625" style="120"/>
    <col min="15363" max="15363" width="7" style="120" bestFit="1" customWidth="1"/>
    <col min="15364" max="15364" width="44" style="120" bestFit="1" customWidth="1"/>
    <col min="15365" max="15365" width="9.42578125" style="120" bestFit="1" customWidth="1"/>
    <col min="15366" max="15366" width="13.7109375" style="120" bestFit="1" customWidth="1"/>
    <col min="15367" max="15367" width="16.85546875" style="120" bestFit="1" customWidth="1"/>
    <col min="15368" max="15368" width="9.140625" style="120"/>
    <col min="15369" max="15369" width="25.7109375" style="120" bestFit="1" customWidth="1"/>
    <col min="15370" max="15370" width="12.5703125" style="120" bestFit="1" customWidth="1"/>
    <col min="15371" max="15618" width="9.140625" style="120"/>
    <col min="15619" max="15619" width="7" style="120" bestFit="1" customWidth="1"/>
    <col min="15620" max="15620" width="44" style="120" bestFit="1" customWidth="1"/>
    <col min="15621" max="15621" width="9.42578125" style="120" bestFit="1" customWidth="1"/>
    <col min="15622" max="15622" width="13.7109375" style="120" bestFit="1" customWidth="1"/>
    <col min="15623" max="15623" width="16.85546875" style="120" bestFit="1" customWidth="1"/>
    <col min="15624" max="15624" width="9.140625" style="120"/>
    <col min="15625" max="15625" width="25.7109375" style="120" bestFit="1" customWidth="1"/>
    <col min="15626" max="15626" width="12.5703125" style="120" bestFit="1" customWidth="1"/>
    <col min="15627" max="15874" width="9.140625" style="120"/>
    <col min="15875" max="15875" width="7" style="120" bestFit="1" customWidth="1"/>
    <col min="15876" max="15876" width="44" style="120" bestFit="1" customWidth="1"/>
    <col min="15877" max="15877" width="9.42578125" style="120" bestFit="1" customWidth="1"/>
    <col min="15878" max="15878" width="13.7109375" style="120" bestFit="1" customWidth="1"/>
    <col min="15879" max="15879" width="16.85546875" style="120" bestFit="1" customWidth="1"/>
    <col min="15880" max="15880" width="9.140625" style="120"/>
    <col min="15881" max="15881" width="25.7109375" style="120" bestFit="1" customWidth="1"/>
    <col min="15882" max="15882" width="12.5703125" style="120" bestFit="1" customWidth="1"/>
    <col min="15883" max="16130" width="9.140625" style="120"/>
    <col min="16131" max="16131" width="7" style="120" bestFit="1" customWidth="1"/>
    <col min="16132" max="16132" width="44" style="120" bestFit="1" customWidth="1"/>
    <col min="16133" max="16133" width="9.42578125" style="120" bestFit="1" customWidth="1"/>
    <col min="16134" max="16134" width="13.7109375" style="120" bestFit="1" customWidth="1"/>
    <col min="16135" max="16135" width="16.85546875" style="120" bestFit="1" customWidth="1"/>
    <col min="16136" max="16136" width="9.140625" style="120"/>
    <col min="16137" max="16137" width="25.7109375" style="120" bestFit="1" customWidth="1"/>
    <col min="16138" max="16138" width="12.5703125" style="120" bestFit="1" customWidth="1"/>
    <col min="16139" max="16384" width="9.140625" style="120"/>
  </cols>
  <sheetData>
    <row r="1" spans="1:9" ht="27.75" customHeight="1" x14ac:dyDescent="0.25">
      <c r="A1" s="607" t="s">
        <v>476</v>
      </c>
      <c r="B1" s="608"/>
      <c r="C1" s="608"/>
      <c r="D1" s="608"/>
      <c r="E1" s="608"/>
      <c r="F1" s="608"/>
      <c r="G1" s="608"/>
      <c r="H1" s="608"/>
      <c r="I1" s="609"/>
    </row>
    <row r="2" spans="1:9" ht="19.5" customHeight="1" x14ac:dyDescent="0.25">
      <c r="A2" s="610" t="s">
        <v>257</v>
      </c>
      <c r="B2" s="611"/>
      <c r="C2" s="611"/>
      <c r="D2" s="611"/>
      <c r="E2" s="611"/>
      <c r="F2" s="611"/>
      <c r="G2" s="611"/>
      <c r="H2" s="611"/>
      <c r="I2" s="612"/>
    </row>
    <row r="3" spans="1:9" s="194" customFormat="1" ht="32.25" customHeight="1" x14ac:dyDescent="0.25">
      <c r="A3" s="332" t="s">
        <v>218</v>
      </c>
      <c r="B3" s="193" t="s">
        <v>69</v>
      </c>
      <c r="C3" s="193" t="s">
        <v>117</v>
      </c>
      <c r="D3" s="193" t="s">
        <v>486</v>
      </c>
      <c r="E3" s="193" t="s">
        <v>118</v>
      </c>
      <c r="F3" s="193" t="s">
        <v>493</v>
      </c>
      <c r="G3" s="193" t="s">
        <v>119</v>
      </c>
      <c r="H3" s="193" t="s">
        <v>109</v>
      </c>
      <c r="I3" s="333" t="s">
        <v>485</v>
      </c>
    </row>
    <row r="4" spans="1:9" ht="67.5" customHeight="1" x14ac:dyDescent="0.25">
      <c r="A4" s="616" t="s">
        <v>219</v>
      </c>
      <c r="B4" s="119">
        <v>1</v>
      </c>
      <c r="C4" s="223" t="s">
        <v>250</v>
      </c>
      <c r="D4" s="311" t="s">
        <v>487</v>
      </c>
      <c r="E4" s="119">
        <v>4</v>
      </c>
      <c r="F4" s="119">
        <v>24</v>
      </c>
      <c r="G4" s="100">
        <v>34.82</v>
      </c>
      <c r="H4" s="100">
        <f t="shared" ref="H4:H11" si="0">G4*E4</f>
        <v>139.28</v>
      </c>
      <c r="I4" s="334">
        <f>H4/F4</f>
        <v>5.8033333333333337</v>
      </c>
    </row>
    <row r="5" spans="1:9" ht="42.75" customHeight="1" x14ac:dyDescent="0.25">
      <c r="A5" s="617"/>
      <c r="B5" s="119">
        <v>2</v>
      </c>
      <c r="C5" s="223" t="s">
        <v>251</v>
      </c>
      <c r="D5" s="311" t="s">
        <v>488</v>
      </c>
      <c r="E5" s="119">
        <v>7</v>
      </c>
      <c r="F5" s="119">
        <v>60</v>
      </c>
      <c r="G5" s="100">
        <v>20</v>
      </c>
      <c r="H5" s="100">
        <f t="shared" si="0"/>
        <v>140</v>
      </c>
      <c r="I5" s="334">
        <f t="shared" ref="I5:I11" si="1">H5/F5</f>
        <v>2.3333333333333335</v>
      </c>
    </row>
    <row r="6" spans="1:9" ht="23.25" customHeight="1" x14ac:dyDescent="0.25">
      <c r="A6" s="617"/>
      <c r="B6" s="119">
        <v>3</v>
      </c>
      <c r="C6" s="223" t="s">
        <v>252</v>
      </c>
      <c r="D6" s="311" t="s">
        <v>488</v>
      </c>
      <c r="E6" s="119">
        <v>7</v>
      </c>
      <c r="F6" s="119">
        <v>24</v>
      </c>
      <c r="G6" s="100">
        <v>20</v>
      </c>
      <c r="H6" s="100">
        <f t="shared" si="0"/>
        <v>140</v>
      </c>
      <c r="I6" s="334">
        <f t="shared" si="1"/>
        <v>5.833333333333333</v>
      </c>
    </row>
    <row r="7" spans="1:9" ht="27" customHeight="1" x14ac:dyDescent="0.25">
      <c r="A7" s="617"/>
      <c r="B7" s="119">
        <v>4</v>
      </c>
      <c r="C7" s="223" t="s">
        <v>253</v>
      </c>
      <c r="D7" s="311" t="s">
        <v>488</v>
      </c>
      <c r="E7" s="119">
        <v>13</v>
      </c>
      <c r="F7" s="119">
        <v>12</v>
      </c>
      <c r="G7" s="100">
        <v>3</v>
      </c>
      <c r="H7" s="100">
        <f t="shared" si="0"/>
        <v>39</v>
      </c>
      <c r="I7" s="334">
        <f t="shared" si="1"/>
        <v>3.25</v>
      </c>
    </row>
    <row r="8" spans="1:9" ht="29.25" customHeight="1" x14ac:dyDescent="0.25">
      <c r="A8" s="617"/>
      <c r="B8" s="119">
        <v>5</v>
      </c>
      <c r="C8" s="223" t="s">
        <v>254</v>
      </c>
      <c r="D8" s="311" t="s">
        <v>488</v>
      </c>
      <c r="E8" s="119">
        <v>13</v>
      </c>
      <c r="F8" s="119">
        <v>12</v>
      </c>
      <c r="G8" s="100">
        <v>2.5</v>
      </c>
      <c r="H8" s="100">
        <f t="shared" si="0"/>
        <v>32.5</v>
      </c>
      <c r="I8" s="334">
        <f t="shared" si="1"/>
        <v>2.7083333333333335</v>
      </c>
    </row>
    <row r="9" spans="1:9" ht="40.5" customHeight="1" x14ac:dyDescent="0.25">
      <c r="A9" s="617"/>
      <c r="B9" s="119">
        <v>6</v>
      </c>
      <c r="C9" s="223" t="s">
        <v>288</v>
      </c>
      <c r="D9" s="311" t="s">
        <v>488</v>
      </c>
      <c r="E9" s="119">
        <v>7</v>
      </c>
      <c r="F9" s="119">
        <v>12</v>
      </c>
      <c r="G9" s="100">
        <v>140</v>
      </c>
      <c r="H9" s="100">
        <f t="shared" si="0"/>
        <v>980</v>
      </c>
      <c r="I9" s="334">
        <f t="shared" si="1"/>
        <v>81.666666666666671</v>
      </c>
    </row>
    <row r="10" spans="1:9" ht="24" customHeight="1" x14ac:dyDescent="0.25">
      <c r="A10" s="617"/>
      <c r="B10" s="119">
        <v>7</v>
      </c>
      <c r="C10" s="223" t="s">
        <v>255</v>
      </c>
      <c r="D10" s="311" t="s">
        <v>488</v>
      </c>
      <c r="E10" s="119">
        <v>4</v>
      </c>
      <c r="F10" s="119">
        <v>12</v>
      </c>
      <c r="G10" s="100">
        <v>6</v>
      </c>
      <c r="H10" s="100">
        <f t="shared" si="0"/>
        <v>24</v>
      </c>
      <c r="I10" s="334">
        <f t="shared" si="1"/>
        <v>2</v>
      </c>
    </row>
    <row r="11" spans="1:9" ht="23.25" customHeight="1" x14ac:dyDescent="0.25">
      <c r="A11" s="617"/>
      <c r="B11" s="119">
        <v>8</v>
      </c>
      <c r="C11" s="223" t="s">
        <v>256</v>
      </c>
      <c r="D11" s="311" t="s">
        <v>489</v>
      </c>
      <c r="E11" s="119">
        <v>1</v>
      </c>
      <c r="F11" s="119">
        <v>60</v>
      </c>
      <c r="G11" s="100">
        <v>400</v>
      </c>
      <c r="H11" s="100">
        <f t="shared" si="0"/>
        <v>400</v>
      </c>
      <c r="I11" s="334">
        <f t="shared" si="1"/>
        <v>6.666666666666667</v>
      </c>
    </row>
    <row r="12" spans="1:9" x14ac:dyDescent="0.25">
      <c r="A12" s="335"/>
      <c r="B12" s="618" t="s">
        <v>111</v>
      </c>
      <c r="C12" s="619"/>
      <c r="D12" s="619"/>
      <c r="E12" s="619"/>
      <c r="F12" s="619"/>
      <c r="G12" s="620"/>
      <c r="H12" s="141">
        <f>SUM(H4:H11)</f>
        <v>1894.78</v>
      </c>
      <c r="I12" s="336">
        <f>SUM(I4:I11)</f>
        <v>110.26166666666667</v>
      </c>
    </row>
    <row r="13" spans="1:9" x14ac:dyDescent="0.25">
      <c r="A13" s="335"/>
      <c r="B13" s="618" t="s">
        <v>198</v>
      </c>
      <c r="C13" s="619"/>
      <c r="D13" s="619"/>
      <c r="E13" s="619"/>
      <c r="F13" s="619"/>
      <c r="G13" s="620"/>
      <c r="H13" s="224">
        <v>13</v>
      </c>
      <c r="I13" s="336">
        <f>I12/13</f>
        <v>8.4816666666666674</v>
      </c>
    </row>
    <row r="14" spans="1:9" x14ac:dyDescent="0.25">
      <c r="A14" s="335"/>
      <c r="I14" s="337"/>
    </row>
    <row r="15" spans="1:9" ht="19.5" customHeight="1" x14ac:dyDescent="0.25">
      <c r="A15" s="610" t="s">
        <v>258</v>
      </c>
      <c r="B15" s="611"/>
      <c r="C15" s="611"/>
      <c r="D15" s="611"/>
      <c r="E15" s="611"/>
      <c r="F15" s="611"/>
      <c r="G15" s="611"/>
      <c r="H15" s="611"/>
      <c r="I15" s="612"/>
    </row>
    <row r="16" spans="1:9" s="194" customFormat="1" ht="32.25" customHeight="1" x14ac:dyDescent="0.25">
      <c r="A16" s="332" t="s">
        <v>218</v>
      </c>
      <c r="B16" s="193" t="s">
        <v>69</v>
      </c>
      <c r="C16" s="193" t="s">
        <v>117</v>
      </c>
      <c r="D16" s="347" t="s">
        <v>492</v>
      </c>
      <c r="E16" s="193" t="s">
        <v>118</v>
      </c>
      <c r="F16" s="297" t="s">
        <v>491</v>
      </c>
      <c r="G16" s="193" t="s">
        <v>119</v>
      </c>
      <c r="H16" s="193" t="s">
        <v>139</v>
      </c>
      <c r="I16" s="333" t="s">
        <v>109</v>
      </c>
    </row>
    <row r="17" spans="1:9" ht="24.75" customHeight="1" x14ac:dyDescent="0.25">
      <c r="A17" s="616" t="s">
        <v>220</v>
      </c>
      <c r="B17" s="119">
        <v>1</v>
      </c>
      <c r="C17" s="223" t="s">
        <v>447</v>
      </c>
      <c r="D17" s="346" t="s">
        <v>492</v>
      </c>
      <c r="E17" s="119">
        <v>5</v>
      </c>
      <c r="F17" s="348">
        <v>60</v>
      </c>
      <c r="G17" s="100">
        <v>1025</v>
      </c>
      <c r="H17" s="100">
        <f t="shared" ref="H17:H22" si="2">G17*E17</f>
        <v>5125</v>
      </c>
      <c r="I17" s="334">
        <f>H17/F17</f>
        <v>85.416666666666671</v>
      </c>
    </row>
    <row r="18" spans="1:9" ht="15.75" customHeight="1" x14ac:dyDescent="0.25">
      <c r="A18" s="617"/>
      <c r="B18" s="119">
        <v>2</v>
      </c>
      <c r="C18" s="223" t="s">
        <v>260</v>
      </c>
      <c r="D18" s="346" t="s">
        <v>492</v>
      </c>
      <c r="E18" s="119">
        <v>11</v>
      </c>
      <c r="F18" s="348">
        <v>24</v>
      </c>
      <c r="G18" s="100">
        <v>10</v>
      </c>
      <c r="H18" s="100">
        <f t="shared" si="2"/>
        <v>110</v>
      </c>
      <c r="I18" s="334">
        <f t="shared" ref="I18:I22" si="3">H18/F18</f>
        <v>4.583333333333333</v>
      </c>
    </row>
    <row r="19" spans="1:9" ht="62.25" customHeight="1" x14ac:dyDescent="0.25">
      <c r="A19" s="617"/>
      <c r="B19" s="119">
        <v>3</v>
      </c>
      <c r="C19" s="223" t="s">
        <v>262</v>
      </c>
      <c r="D19" s="346" t="s">
        <v>492</v>
      </c>
      <c r="E19" s="119">
        <v>5</v>
      </c>
      <c r="F19" s="348">
        <v>24</v>
      </c>
      <c r="G19" s="100">
        <v>10</v>
      </c>
      <c r="H19" s="100">
        <f t="shared" si="2"/>
        <v>50</v>
      </c>
      <c r="I19" s="334">
        <f t="shared" si="3"/>
        <v>2.0833333333333335</v>
      </c>
    </row>
    <row r="20" spans="1:9" ht="26.25" customHeight="1" x14ac:dyDescent="0.25">
      <c r="A20" s="617"/>
      <c r="B20" s="119">
        <v>4</v>
      </c>
      <c r="C20" s="223" t="s">
        <v>263</v>
      </c>
      <c r="D20" s="346" t="s">
        <v>492</v>
      </c>
      <c r="E20" s="119">
        <v>60</v>
      </c>
      <c r="F20" s="348">
        <v>6</v>
      </c>
      <c r="G20" s="100">
        <v>3.4</v>
      </c>
      <c r="H20" s="100">
        <f t="shared" si="2"/>
        <v>204</v>
      </c>
      <c r="I20" s="334">
        <f t="shared" si="3"/>
        <v>34</v>
      </c>
    </row>
    <row r="21" spans="1:9" ht="23.25" customHeight="1" x14ac:dyDescent="0.25">
      <c r="A21" s="617"/>
      <c r="B21" s="119">
        <v>5</v>
      </c>
      <c r="C21" s="223" t="s">
        <v>264</v>
      </c>
      <c r="D21" s="346" t="s">
        <v>492</v>
      </c>
      <c r="E21" s="119">
        <v>5</v>
      </c>
      <c r="F21" s="348">
        <v>60</v>
      </c>
      <c r="G21" s="100">
        <v>346</v>
      </c>
      <c r="H21" s="100">
        <f t="shared" si="2"/>
        <v>1730</v>
      </c>
      <c r="I21" s="334">
        <f t="shared" si="3"/>
        <v>28.833333333333332</v>
      </c>
    </row>
    <row r="22" spans="1:9" ht="30.75" customHeight="1" x14ac:dyDescent="0.25">
      <c r="A22" s="617"/>
      <c r="B22" s="119">
        <v>6</v>
      </c>
      <c r="C22" s="223" t="s">
        <v>261</v>
      </c>
      <c r="D22" s="346" t="s">
        <v>492</v>
      </c>
      <c r="E22" s="119">
        <v>11</v>
      </c>
      <c r="F22" s="348">
        <v>12</v>
      </c>
      <c r="G22" s="100">
        <v>24.87</v>
      </c>
      <c r="H22" s="100">
        <f t="shared" si="2"/>
        <v>273.57</v>
      </c>
      <c r="I22" s="334">
        <f t="shared" si="3"/>
        <v>22.797499999999999</v>
      </c>
    </row>
    <row r="23" spans="1:9" x14ac:dyDescent="0.25">
      <c r="A23" s="335"/>
      <c r="B23" s="618" t="s">
        <v>111</v>
      </c>
      <c r="C23" s="619"/>
      <c r="D23" s="619"/>
      <c r="E23" s="619"/>
      <c r="F23" s="619"/>
      <c r="G23" s="620"/>
      <c r="H23" s="141">
        <f>SUM(H17:H22)</f>
        <v>7492.57</v>
      </c>
      <c r="I23" s="336">
        <f>SUM(I17:I22)</f>
        <v>177.71416666666664</v>
      </c>
    </row>
    <row r="24" spans="1:9" ht="15.75" thickBot="1" x14ac:dyDescent="0.3">
      <c r="A24" s="338"/>
      <c r="B24" s="613" t="s">
        <v>198</v>
      </c>
      <c r="C24" s="614"/>
      <c r="D24" s="614"/>
      <c r="E24" s="614"/>
      <c r="F24" s="614"/>
      <c r="G24" s="615"/>
      <c r="H24" s="339">
        <v>11</v>
      </c>
      <c r="I24" s="340">
        <f>I23/H24</f>
        <v>16.15583333333333</v>
      </c>
    </row>
  </sheetData>
  <mergeCells count="9">
    <mergeCell ref="A1:I1"/>
    <mergeCell ref="A15:I15"/>
    <mergeCell ref="B24:G24"/>
    <mergeCell ref="A4:A11"/>
    <mergeCell ref="A2:I2"/>
    <mergeCell ref="A17:A22"/>
    <mergeCell ref="B12:G12"/>
    <mergeCell ref="B13:G13"/>
    <mergeCell ref="B23:G23"/>
  </mergeCells>
  <pageMargins left="0.511811024" right="0.511811024" top="0.78740157499999996" bottom="0.78740157499999996" header="0.31496062000000002" footer="0.31496062000000002"/>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7"/>
  <sheetViews>
    <sheetView showGridLines="0" topLeftCell="A4" workbookViewId="0">
      <selection activeCell="G6" sqref="G6"/>
    </sheetView>
  </sheetViews>
  <sheetFormatPr defaultRowHeight="12.75" x14ac:dyDescent="0.25"/>
  <cols>
    <col min="1" max="1" width="8.5703125" style="235" customWidth="1"/>
    <col min="2" max="2" width="18.28515625" style="235" customWidth="1"/>
    <col min="3" max="3" width="9.28515625" style="235" customWidth="1"/>
    <col min="4" max="4" width="15.42578125" style="235" customWidth="1"/>
    <col min="5" max="5" width="15.85546875" style="235" customWidth="1"/>
    <col min="6" max="6" width="15" style="235" customWidth="1"/>
    <col min="7" max="7" width="13" style="235" customWidth="1"/>
    <col min="8" max="8" width="10.140625" style="235" customWidth="1"/>
    <col min="9" max="16384" width="9.140625" style="235"/>
  </cols>
  <sheetData>
    <row r="1" spans="1:8" ht="33" customHeight="1" x14ac:dyDescent="0.25">
      <c r="A1" s="629" t="s">
        <v>385</v>
      </c>
      <c r="B1" s="630"/>
      <c r="C1" s="630"/>
      <c r="D1" s="630"/>
      <c r="E1" s="630"/>
      <c r="F1" s="630"/>
      <c r="G1" s="630"/>
      <c r="H1" s="247"/>
    </row>
    <row r="2" spans="1:8" ht="21.2" customHeight="1" x14ac:dyDescent="0.25">
      <c r="A2" s="641" t="s">
        <v>347</v>
      </c>
      <c r="B2" s="642"/>
      <c r="C2" s="642"/>
      <c r="D2" s="642"/>
      <c r="E2" s="642"/>
      <c r="F2" s="642"/>
      <c r="G2" s="643"/>
    </row>
    <row r="3" spans="1:8" ht="24" customHeight="1" x14ac:dyDescent="0.25">
      <c r="A3" s="248" t="s">
        <v>197</v>
      </c>
      <c r="B3" s="249" t="s">
        <v>334</v>
      </c>
      <c r="C3" s="248" t="s">
        <v>348</v>
      </c>
      <c r="D3" s="248" t="s">
        <v>335</v>
      </c>
      <c r="E3" s="248" t="s">
        <v>336</v>
      </c>
      <c r="F3" s="250" t="s">
        <v>349</v>
      </c>
      <c r="G3" s="251" t="s">
        <v>350</v>
      </c>
    </row>
    <row r="4" spans="1:8" ht="25.5" customHeight="1" x14ac:dyDescent="0.25">
      <c r="A4" s="252">
        <v>1</v>
      </c>
      <c r="B4" s="250" t="s">
        <v>351</v>
      </c>
      <c r="C4" s="252">
        <v>15</v>
      </c>
      <c r="D4" s="253" t="s">
        <v>352</v>
      </c>
      <c r="E4" s="253">
        <f>D4*C4</f>
        <v>562.5</v>
      </c>
      <c r="F4" s="254">
        <f>(D4*-2%)*C4</f>
        <v>-11.25</v>
      </c>
      <c r="G4" s="255">
        <f>E4+F4</f>
        <v>551.25</v>
      </c>
    </row>
    <row r="5" spans="1:8" ht="24.75" customHeight="1" x14ac:dyDescent="0.25">
      <c r="A5" s="256">
        <v>2</v>
      </c>
      <c r="B5" s="257" t="s">
        <v>353</v>
      </c>
      <c r="C5" s="256">
        <v>21</v>
      </c>
      <c r="D5" s="258" t="s">
        <v>352</v>
      </c>
      <c r="E5" s="253">
        <f>D5*C5</f>
        <v>787.5</v>
      </c>
      <c r="F5" s="254">
        <f>(D5*-2%)*C5</f>
        <v>-15.75</v>
      </c>
      <c r="G5" s="259">
        <f>E5+F5</f>
        <v>771.75</v>
      </c>
    </row>
    <row r="6" spans="1:8" ht="26.25" customHeight="1" x14ac:dyDescent="0.25">
      <c r="A6" s="260"/>
      <c r="B6" s="261"/>
      <c r="C6" s="262"/>
      <c r="D6" s="263"/>
      <c r="E6" s="263"/>
      <c r="F6" s="264"/>
      <c r="G6" s="265"/>
    </row>
    <row r="7" spans="1:8" ht="18.95" customHeight="1" x14ac:dyDescent="0.25">
      <c r="A7" s="644" t="s">
        <v>333</v>
      </c>
      <c r="B7" s="645"/>
      <c r="C7" s="645"/>
      <c r="D7" s="645"/>
      <c r="E7" s="645"/>
      <c r="F7" s="645"/>
      <c r="G7" s="645"/>
    </row>
    <row r="8" spans="1:8" s="269" customFormat="1" x14ac:dyDescent="0.25">
      <c r="A8" s="266" t="s">
        <v>197</v>
      </c>
      <c r="B8" s="623" t="s">
        <v>334</v>
      </c>
      <c r="C8" s="624"/>
      <c r="D8" s="625"/>
      <c r="E8" s="266" t="s">
        <v>386</v>
      </c>
      <c r="F8" s="267" t="s">
        <v>335</v>
      </c>
      <c r="G8" s="268" t="s">
        <v>336</v>
      </c>
    </row>
    <row r="9" spans="1:8" ht="12.75" customHeight="1" x14ac:dyDescent="0.25">
      <c r="A9" s="636" t="s">
        <v>337</v>
      </c>
      <c r="B9" s="638" t="s">
        <v>338</v>
      </c>
      <c r="C9" s="639"/>
      <c r="D9" s="640"/>
      <c r="E9" s="270">
        <v>21</v>
      </c>
      <c r="F9" s="271" t="s">
        <v>339</v>
      </c>
      <c r="G9" s="272" t="s">
        <v>340</v>
      </c>
    </row>
    <row r="10" spans="1:8" ht="12.75" customHeight="1" x14ac:dyDescent="0.25">
      <c r="A10" s="637"/>
      <c r="B10" s="638" t="s">
        <v>341</v>
      </c>
      <c r="C10" s="639"/>
      <c r="D10" s="640"/>
      <c r="E10" s="270">
        <v>21</v>
      </c>
      <c r="F10" s="271" t="s">
        <v>339</v>
      </c>
      <c r="G10" s="272" t="s">
        <v>340</v>
      </c>
    </row>
    <row r="11" spans="1:8" x14ac:dyDescent="0.25">
      <c r="A11" s="623" t="s">
        <v>387</v>
      </c>
      <c r="B11" s="624"/>
      <c r="C11" s="624"/>
      <c r="D11" s="624"/>
      <c r="E11" s="624"/>
      <c r="F11" s="625"/>
      <c r="G11" s="268" t="s">
        <v>342</v>
      </c>
    </row>
    <row r="12" spans="1:8" x14ac:dyDescent="0.25">
      <c r="A12" s="623" t="s">
        <v>388</v>
      </c>
      <c r="B12" s="624"/>
      <c r="C12" s="624"/>
      <c r="D12" s="624"/>
      <c r="E12" s="624"/>
      <c r="F12" s="625"/>
      <c r="G12" s="276">
        <f>2192.65*-6%</f>
        <v>-131.559</v>
      </c>
    </row>
    <row r="13" spans="1:8" x14ac:dyDescent="0.25">
      <c r="A13" s="623" t="s">
        <v>389</v>
      </c>
      <c r="B13" s="624"/>
      <c r="C13" s="624"/>
      <c r="D13" s="624"/>
      <c r="E13" s="624"/>
      <c r="F13" s="625"/>
      <c r="G13" s="276">
        <f>G11+G12</f>
        <v>99.441000000000003</v>
      </c>
    </row>
    <row r="14" spans="1:8" x14ac:dyDescent="0.25">
      <c r="A14" s="274"/>
      <c r="B14" s="275"/>
      <c r="C14" s="275"/>
      <c r="D14" s="275"/>
      <c r="E14" s="275"/>
      <c r="F14" s="275"/>
      <c r="G14" s="268"/>
    </row>
    <row r="15" spans="1:8" x14ac:dyDescent="0.25">
      <c r="A15" s="631" t="s">
        <v>343</v>
      </c>
      <c r="B15" s="633" t="s">
        <v>338</v>
      </c>
      <c r="C15" s="634"/>
      <c r="D15" s="635"/>
      <c r="E15" s="270">
        <v>15</v>
      </c>
      <c r="F15" s="271" t="s">
        <v>339</v>
      </c>
      <c r="G15" s="272" t="s">
        <v>344</v>
      </c>
    </row>
    <row r="16" spans="1:8" x14ac:dyDescent="0.25">
      <c r="A16" s="632"/>
      <c r="B16" s="633" t="s">
        <v>341</v>
      </c>
      <c r="C16" s="634"/>
      <c r="D16" s="635"/>
      <c r="E16" s="270">
        <v>15</v>
      </c>
      <c r="F16" s="271" t="s">
        <v>339</v>
      </c>
      <c r="G16" s="272" t="s">
        <v>344</v>
      </c>
    </row>
    <row r="17" spans="1:7" x14ac:dyDescent="0.25">
      <c r="A17" s="626" t="s">
        <v>1</v>
      </c>
      <c r="B17" s="627"/>
      <c r="C17" s="627"/>
      <c r="D17" s="627"/>
      <c r="E17" s="627"/>
      <c r="F17" s="628"/>
      <c r="G17" s="273" t="s">
        <v>345</v>
      </c>
    </row>
    <row r="18" spans="1:7" x14ac:dyDescent="0.25">
      <c r="A18" s="623" t="s">
        <v>388</v>
      </c>
      <c r="B18" s="624"/>
      <c r="C18" s="624"/>
      <c r="D18" s="624"/>
      <c r="E18" s="624"/>
      <c r="F18" s="625"/>
      <c r="G18" s="276">
        <f>2192.65*-6%</f>
        <v>-131.559</v>
      </c>
    </row>
    <row r="19" spans="1:7" x14ac:dyDescent="0.25">
      <c r="A19" s="623" t="s">
        <v>389</v>
      </c>
      <c r="B19" s="624"/>
      <c r="C19" s="624"/>
      <c r="D19" s="624"/>
      <c r="E19" s="624"/>
      <c r="F19" s="625"/>
      <c r="G19" s="276">
        <f>G17+G18</f>
        <v>33.441000000000003</v>
      </c>
    </row>
    <row r="21" spans="1:7" ht="27.75" customHeight="1" x14ac:dyDescent="0.25">
      <c r="A21" s="621" t="s">
        <v>265</v>
      </c>
      <c r="B21" s="621"/>
      <c r="C21" s="622" t="s">
        <v>266</v>
      </c>
      <c r="D21" s="622"/>
      <c r="E21" s="622"/>
      <c r="F21" s="622"/>
      <c r="G21" s="622"/>
    </row>
    <row r="23" spans="1:7" ht="27.75" customHeight="1" x14ac:dyDescent="0.25">
      <c r="A23" s="621" t="s">
        <v>267</v>
      </c>
      <c r="B23" s="621"/>
      <c r="C23" s="622" t="s">
        <v>268</v>
      </c>
      <c r="D23" s="622"/>
      <c r="E23" s="622"/>
      <c r="F23" s="622"/>
      <c r="G23" s="622"/>
    </row>
    <row r="25" spans="1:7" ht="27.75" customHeight="1" x14ac:dyDescent="0.25">
      <c r="A25" s="621" t="s">
        <v>269</v>
      </c>
      <c r="B25" s="621"/>
      <c r="C25" s="622" t="s">
        <v>443</v>
      </c>
      <c r="D25" s="622"/>
      <c r="E25" s="622"/>
      <c r="F25" s="622"/>
      <c r="G25" s="622"/>
    </row>
    <row r="27" spans="1:7" ht="27.75" customHeight="1" x14ac:dyDescent="0.25">
      <c r="A27" s="621" t="s">
        <v>270</v>
      </c>
      <c r="B27" s="621"/>
      <c r="C27" s="622" t="s">
        <v>280</v>
      </c>
      <c r="D27" s="622"/>
      <c r="E27" s="622"/>
      <c r="F27" s="622"/>
      <c r="G27" s="622"/>
    </row>
  </sheetData>
  <mergeCells count="24">
    <mergeCell ref="A1:G1"/>
    <mergeCell ref="C21:G21"/>
    <mergeCell ref="A21:B21"/>
    <mergeCell ref="A23:B23"/>
    <mergeCell ref="C23:G23"/>
    <mergeCell ref="A15:A16"/>
    <mergeCell ref="B15:D15"/>
    <mergeCell ref="B16:D16"/>
    <mergeCell ref="A9:A10"/>
    <mergeCell ref="B9:D9"/>
    <mergeCell ref="B10:D10"/>
    <mergeCell ref="A2:G2"/>
    <mergeCell ref="A7:G7"/>
    <mergeCell ref="B8:D8"/>
    <mergeCell ref="A12:F12"/>
    <mergeCell ref="A13:F13"/>
    <mergeCell ref="A25:B25"/>
    <mergeCell ref="C25:G25"/>
    <mergeCell ref="A27:B27"/>
    <mergeCell ref="C27:G27"/>
    <mergeCell ref="A11:F11"/>
    <mergeCell ref="A17:F17"/>
    <mergeCell ref="A18:F18"/>
    <mergeCell ref="A19:F19"/>
  </mergeCells>
  <pageMargins left="0.7" right="0.7" top="0.75" bottom="0.75" header="0.3" footer="0.3"/>
  <pageSetup paperSize="9" orientation="portrait" r:id="rId1"/>
  <ignoredErrors>
    <ignoredError sqref="A9:G10 D4:D5 A15:G16 B11:G1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B177"/>
  <sheetViews>
    <sheetView showGridLines="0" topLeftCell="A94" zoomScaleNormal="100" zoomScaleSheetLayoutView="112" workbookViewId="0">
      <selection activeCell="F95" sqref="F95:Q95"/>
    </sheetView>
  </sheetViews>
  <sheetFormatPr defaultColWidth="4.85546875" defaultRowHeight="12.75" x14ac:dyDescent="0.25"/>
  <cols>
    <col min="1" max="1" width="4.85546875" style="226"/>
    <col min="2" max="2" width="0.7109375" style="226" customWidth="1"/>
    <col min="3" max="3" width="4.85546875" style="226"/>
    <col min="4" max="4" width="13.140625" style="226" customWidth="1"/>
    <col min="5" max="5" width="7.28515625" style="226" customWidth="1"/>
    <col min="6" max="6" width="12.140625" style="226" customWidth="1"/>
    <col min="7" max="7" width="8.7109375" style="226" customWidth="1"/>
    <col min="8" max="11" width="4.85546875" style="226"/>
    <col min="12" max="12" width="6.7109375" style="226" customWidth="1"/>
    <col min="13" max="16" width="4.85546875" style="226"/>
    <col min="17" max="17" width="3" style="226" customWidth="1"/>
    <col min="18" max="18" width="29" style="226" customWidth="1"/>
    <col min="19" max="16384" width="4.85546875" style="226"/>
  </cols>
  <sheetData>
    <row r="1" spans="1:17" ht="23.25" customHeight="1" thickBot="1" x14ac:dyDescent="0.3">
      <c r="A1" s="776" t="s">
        <v>477</v>
      </c>
      <c r="B1" s="776"/>
      <c r="C1" s="776"/>
      <c r="D1" s="776"/>
      <c r="E1" s="776"/>
      <c r="F1" s="776"/>
      <c r="G1" s="776"/>
      <c r="H1" s="776"/>
      <c r="I1" s="776"/>
      <c r="J1" s="776"/>
      <c r="K1" s="776"/>
      <c r="L1" s="776"/>
      <c r="M1" s="776"/>
      <c r="N1" s="776"/>
      <c r="O1" s="776"/>
      <c r="P1" s="776"/>
      <c r="Q1" s="776"/>
    </row>
    <row r="2" spans="1:17" s="227" customFormat="1" ht="27.75" customHeight="1" thickBot="1" x14ac:dyDescent="0.25">
      <c r="A2" s="773" t="s">
        <v>272</v>
      </c>
      <c r="B2" s="774"/>
      <c r="C2" s="774"/>
      <c r="D2" s="774"/>
      <c r="E2" s="774"/>
      <c r="F2" s="774"/>
      <c r="G2" s="774"/>
      <c r="H2" s="774"/>
      <c r="I2" s="774"/>
      <c r="J2" s="774"/>
      <c r="K2" s="774"/>
      <c r="L2" s="774"/>
      <c r="M2" s="774"/>
      <c r="N2" s="774"/>
      <c r="O2" s="774"/>
      <c r="P2" s="774"/>
      <c r="Q2" s="775"/>
    </row>
    <row r="3" spans="1:17" ht="45.75" customHeight="1" x14ac:dyDescent="0.25">
      <c r="A3" s="810" t="s">
        <v>289</v>
      </c>
      <c r="B3" s="811"/>
      <c r="C3" s="811"/>
      <c r="D3" s="811"/>
      <c r="E3" s="811"/>
      <c r="F3" s="811"/>
      <c r="G3" s="811"/>
      <c r="H3" s="811"/>
      <c r="I3" s="811"/>
      <c r="J3" s="811"/>
      <c r="K3" s="811"/>
      <c r="L3" s="811"/>
      <c r="M3" s="811"/>
      <c r="N3" s="811"/>
      <c r="O3" s="811"/>
      <c r="P3" s="811"/>
      <c r="Q3" s="811"/>
    </row>
    <row r="4" spans="1:17" ht="5.0999999999999996" customHeight="1" x14ac:dyDescent="0.25">
      <c r="A4" s="780"/>
      <c r="B4" s="780"/>
      <c r="C4" s="780"/>
      <c r="D4" s="780"/>
      <c r="E4" s="780"/>
      <c r="F4" s="780"/>
      <c r="G4" s="780"/>
      <c r="H4" s="780"/>
      <c r="I4" s="780"/>
      <c r="J4" s="780"/>
      <c r="K4" s="780"/>
      <c r="L4" s="780"/>
      <c r="M4" s="780"/>
      <c r="N4" s="780"/>
      <c r="O4" s="780"/>
      <c r="P4" s="780"/>
      <c r="Q4" s="780"/>
    </row>
    <row r="5" spans="1:17" s="228" customFormat="1" ht="20.100000000000001" customHeight="1" x14ac:dyDescent="0.2">
      <c r="A5" s="777" t="s">
        <v>290</v>
      </c>
      <c r="B5" s="777"/>
      <c r="C5" s="777"/>
      <c r="D5" s="777"/>
      <c r="E5" s="777"/>
      <c r="F5" s="777"/>
      <c r="G5" s="777"/>
      <c r="H5" s="777"/>
      <c r="I5" s="777"/>
      <c r="J5" s="777"/>
      <c r="K5" s="777"/>
      <c r="L5" s="777"/>
      <c r="M5" s="777"/>
      <c r="N5" s="777"/>
      <c r="O5" s="777"/>
      <c r="P5" s="777"/>
      <c r="Q5" s="777"/>
    </row>
    <row r="6" spans="1:17" ht="35.1" customHeight="1" x14ac:dyDescent="0.25">
      <c r="A6" s="780" t="s">
        <v>390</v>
      </c>
      <c r="B6" s="780"/>
      <c r="C6" s="780"/>
      <c r="D6" s="780"/>
      <c r="E6" s="780"/>
      <c r="F6" s="780"/>
      <c r="G6" s="780"/>
      <c r="H6" s="780"/>
      <c r="I6" s="780"/>
      <c r="J6" s="780"/>
      <c r="K6" s="780"/>
      <c r="L6" s="780"/>
      <c r="M6" s="780"/>
      <c r="N6" s="780"/>
      <c r="O6" s="780"/>
      <c r="P6" s="780"/>
      <c r="Q6" s="780"/>
    </row>
    <row r="7" spans="1:17" s="229" customFormat="1" ht="35.1" customHeight="1" x14ac:dyDescent="0.25">
      <c r="A7" s="801" t="s">
        <v>291</v>
      </c>
      <c r="B7" s="533"/>
      <c r="C7" s="533"/>
      <c r="D7" s="533"/>
      <c r="E7" s="533"/>
      <c r="F7" s="533"/>
      <c r="G7" s="533"/>
      <c r="H7" s="533"/>
      <c r="I7" s="533"/>
      <c r="J7" s="533"/>
      <c r="K7" s="533"/>
      <c r="L7" s="533"/>
      <c r="M7" s="533"/>
      <c r="N7" s="533"/>
      <c r="O7" s="533"/>
      <c r="P7" s="533"/>
      <c r="Q7" s="533"/>
    </row>
    <row r="8" spans="1:17" s="228" customFormat="1" ht="6" hidden="1" customHeight="1" x14ac:dyDescent="0.2">
      <c r="A8" s="777" t="s">
        <v>292</v>
      </c>
      <c r="B8" s="777"/>
      <c r="C8" s="777"/>
      <c r="D8" s="777"/>
      <c r="E8" s="777"/>
      <c r="F8" s="777"/>
      <c r="G8" s="777"/>
      <c r="H8" s="777"/>
      <c r="I8" s="777"/>
      <c r="J8" s="777"/>
      <c r="K8" s="777"/>
      <c r="L8" s="777"/>
      <c r="M8" s="777"/>
      <c r="N8" s="777"/>
      <c r="O8" s="777"/>
      <c r="P8" s="777"/>
      <c r="Q8" s="777"/>
    </row>
    <row r="9" spans="1:17" s="229" customFormat="1" ht="6" hidden="1" customHeight="1" x14ac:dyDescent="0.25">
      <c r="A9" s="813" t="s">
        <v>293</v>
      </c>
      <c r="B9" s="533"/>
      <c r="C9" s="533"/>
      <c r="D9" s="533"/>
      <c r="E9" s="533"/>
      <c r="F9" s="533"/>
      <c r="G9" s="533"/>
      <c r="H9" s="533"/>
      <c r="I9" s="533"/>
      <c r="J9" s="533"/>
      <c r="K9" s="533"/>
      <c r="L9" s="533"/>
      <c r="M9" s="533"/>
      <c r="N9" s="533"/>
      <c r="O9" s="533"/>
      <c r="P9" s="533"/>
      <c r="Q9" s="533"/>
    </row>
    <row r="10" spans="1:17" s="229" customFormat="1" ht="6" hidden="1" customHeight="1" x14ac:dyDescent="0.25">
      <c r="A10" s="533" t="s">
        <v>294</v>
      </c>
      <c r="B10" s="533"/>
      <c r="C10" s="533"/>
      <c r="D10" s="533"/>
      <c r="E10" s="533"/>
      <c r="F10" s="533"/>
      <c r="G10" s="533"/>
      <c r="H10" s="533"/>
      <c r="I10" s="533"/>
      <c r="J10" s="533"/>
      <c r="K10" s="533"/>
      <c r="L10" s="533"/>
      <c r="M10" s="533"/>
      <c r="N10" s="533"/>
      <c r="O10" s="533"/>
      <c r="P10" s="533"/>
      <c r="Q10" s="533"/>
    </row>
    <row r="11" spans="1:17" ht="5.0999999999999996" customHeight="1" x14ac:dyDescent="0.25">
      <c r="A11" s="780"/>
      <c r="B11" s="780"/>
      <c r="C11" s="780"/>
      <c r="D11" s="780"/>
      <c r="E11" s="780"/>
      <c r="F11" s="780"/>
      <c r="G11" s="780"/>
      <c r="H11" s="780"/>
      <c r="I11" s="780"/>
      <c r="J11" s="780"/>
      <c r="K11" s="780"/>
      <c r="L11" s="780"/>
      <c r="M11" s="780"/>
      <c r="N11" s="780"/>
      <c r="O11" s="780"/>
      <c r="P11" s="780"/>
      <c r="Q11" s="780"/>
    </row>
    <row r="12" spans="1:17" s="228" customFormat="1" ht="20.100000000000001" customHeight="1" x14ac:dyDescent="0.2">
      <c r="A12" s="777" t="s">
        <v>391</v>
      </c>
      <c r="B12" s="777"/>
      <c r="C12" s="777"/>
      <c r="D12" s="777"/>
      <c r="E12" s="777"/>
      <c r="F12" s="777"/>
      <c r="G12" s="777"/>
      <c r="H12" s="777"/>
      <c r="I12" s="777"/>
      <c r="J12" s="777"/>
      <c r="K12" s="777"/>
      <c r="L12" s="777"/>
      <c r="M12" s="777"/>
      <c r="N12" s="777"/>
      <c r="O12" s="777"/>
      <c r="P12" s="777"/>
      <c r="Q12" s="777"/>
    </row>
    <row r="13" spans="1:17" ht="47.25" customHeight="1" x14ac:dyDescent="0.25">
      <c r="A13" s="814" t="s">
        <v>392</v>
      </c>
      <c r="B13" s="533"/>
      <c r="C13" s="533"/>
      <c r="D13" s="533"/>
      <c r="E13" s="533"/>
      <c r="F13" s="533"/>
      <c r="G13" s="533"/>
      <c r="H13" s="533"/>
      <c r="I13" s="533"/>
      <c r="J13" s="533"/>
      <c r="K13" s="533"/>
      <c r="L13" s="533"/>
      <c r="M13" s="533"/>
      <c r="N13" s="533"/>
      <c r="O13" s="533"/>
      <c r="P13" s="533"/>
      <c r="Q13" s="533"/>
    </row>
    <row r="14" spans="1:17" s="229" customFormat="1" ht="35.1" customHeight="1" x14ac:dyDescent="0.25">
      <c r="A14" s="801" t="s">
        <v>295</v>
      </c>
      <c r="B14" s="533"/>
      <c r="C14" s="533"/>
      <c r="D14" s="533"/>
      <c r="E14" s="533"/>
      <c r="F14" s="533"/>
      <c r="G14" s="533"/>
      <c r="H14" s="533"/>
      <c r="I14" s="533"/>
      <c r="J14" s="533"/>
      <c r="K14" s="533"/>
      <c r="L14" s="533"/>
      <c r="M14" s="533"/>
      <c r="N14" s="533"/>
      <c r="O14" s="533"/>
      <c r="P14" s="533"/>
      <c r="Q14" s="533"/>
    </row>
    <row r="15" spans="1:17" ht="5.0999999999999996" customHeight="1" x14ac:dyDescent="0.25">
      <c r="A15" s="780"/>
      <c r="B15" s="780"/>
      <c r="C15" s="780"/>
      <c r="D15" s="780"/>
      <c r="E15" s="780"/>
      <c r="F15" s="780"/>
      <c r="G15" s="780"/>
      <c r="H15" s="780"/>
      <c r="I15" s="780"/>
      <c r="J15" s="780"/>
      <c r="K15" s="780"/>
      <c r="L15" s="780"/>
      <c r="M15" s="780"/>
      <c r="N15" s="780"/>
      <c r="O15" s="780"/>
      <c r="P15" s="780"/>
      <c r="Q15" s="780"/>
    </row>
    <row r="16" spans="1:17" s="228" customFormat="1" ht="20.100000000000001" customHeight="1" x14ac:dyDescent="0.2">
      <c r="A16" s="778" t="s">
        <v>436</v>
      </c>
      <c r="B16" s="778"/>
      <c r="C16" s="778"/>
      <c r="D16" s="778"/>
      <c r="E16" s="778"/>
      <c r="F16" s="778"/>
      <c r="G16" s="778"/>
      <c r="H16" s="778"/>
      <c r="I16" s="778"/>
      <c r="J16" s="778"/>
      <c r="K16" s="778"/>
      <c r="L16" s="778"/>
      <c r="M16" s="778"/>
      <c r="N16" s="778"/>
      <c r="O16" s="778"/>
      <c r="P16" s="778"/>
      <c r="Q16" s="778"/>
    </row>
    <row r="17" spans="1:17" ht="38.25" customHeight="1" x14ac:dyDescent="0.25">
      <c r="A17" s="669" t="s">
        <v>478</v>
      </c>
      <c r="B17" s="669"/>
      <c r="C17" s="669"/>
      <c r="D17" s="669"/>
      <c r="E17" s="669"/>
      <c r="F17" s="669"/>
      <c r="G17" s="669"/>
      <c r="H17" s="669"/>
      <c r="I17" s="669"/>
      <c r="J17" s="669"/>
      <c r="K17" s="669"/>
      <c r="L17" s="669"/>
      <c r="M17" s="669"/>
      <c r="N17" s="669"/>
      <c r="O17" s="669"/>
      <c r="P17" s="669"/>
      <c r="Q17" s="669"/>
    </row>
    <row r="18" spans="1:17" ht="408.95" customHeight="1" x14ac:dyDescent="0.25">
      <c r="A18" s="669"/>
      <c r="B18" s="669"/>
      <c r="C18" s="669"/>
      <c r="D18" s="669"/>
      <c r="E18" s="669"/>
      <c r="F18" s="669"/>
      <c r="G18" s="669"/>
      <c r="H18" s="669"/>
      <c r="I18" s="669"/>
      <c r="J18" s="669"/>
      <c r="K18" s="669"/>
      <c r="L18" s="669"/>
      <c r="M18" s="669"/>
      <c r="N18" s="669"/>
      <c r="O18" s="669"/>
      <c r="P18" s="669"/>
      <c r="Q18" s="669"/>
    </row>
    <row r="19" spans="1:17" ht="38.25" customHeight="1" x14ac:dyDescent="0.25">
      <c r="A19" s="800" t="s">
        <v>437</v>
      </c>
      <c r="B19" s="815"/>
      <c r="C19" s="815"/>
      <c r="D19" s="815"/>
      <c r="E19" s="815"/>
      <c r="F19" s="815"/>
      <c r="G19" s="815"/>
      <c r="H19" s="815"/>
      <c r="I19" s="815"/>
      <c r="J19" s="815"/>
      <c r="K19" s="815"/>
      <c r="L19" s="815"/>
      <c r="M19" s="815"/>
      <c r="N19" s="815"/>
      <c r="O19" s="815"/>
      <c r="P19" s="815"/>
      <c r="Q19" s="815"/>
    </row>
    <row r="20" spans="1:17" ht="13.5" customHeight="1" x14ac:dyDescent="0.25">
      <c r="A20" s="802" t="s">
        <v>296</v>
      </c>
      <c r="B20" s="803"/>
      <c r="C20" s="803"/>
      <c r="D20" s="803"/>
      <c r="E20" s="803"/>
      <c r="F20" s="803"/>
      <c r="G20" s="803"/>
      <c r="H20" s="803"/>
      <c r="I20" s="803"/>
      <c r="J20" s="803"/>
      <c r="K20" s="803"/>
      <c r="L20" s="803"/>
      <c r="M20" s="803"/>
      <c r="N20" s="803"/>
      <c r="O20" s="803"/>
      <c r="P20" s="803"/>
      <c r="Q20" s="804"/>
    </row>
    <row r="21" spans="1:17" ht="35.1" customHeight="1" thickBot="1" x14ac:dyDescent="0.3">
      <c r="A21" s="805" t="s">
        <v>393</v>
      </c>
      <c r="B21" s="806"/>
      <c r="C21" s="806"/>
      <c r="D21" s="806"/>
      <c r="E21" s="806"/>
      <c r="F21" s="806"/>
      <c r="G21" s="806"/>
      <c r="H21" s="806"/>
      <c r="I21" s="806"/>
      <c r="J21" s="806"/>
      <c r="K21" s="806"/>
      <c r="L21" s="806"/>
      <c r="M21" s="806"/>
      <c r="N21" s="806"/>
      <c r="O21" s="806"/>
      <c r="P21" s="806"/>
      <c r="Q21" s="807"/>
    </row>
    <row r="22" spans="1:17" s="228" customFormat="1" ht="6" hidden="1" customHeight="1" x14ac:dyDescent="0.2">
      <c r="A22" s="779" t="s">
        <v>273</v>
      </c>
      <c r="B22" s="779"/>
      <c r="C22" s="779"/>
      <c r="D22" s="779"/>
      <c r="E22" s="779"/>
      <c r="F22" s="779"/>
      <c r="G22" s="779"/>
      <c r="H22" s="779"/>
      <c r="I22" s="779"/>
      <c r="J22" s="779"/>
      <c r="K22" s="779"/>
      <c r="L22" s="779"/>
      <c r="M22" s="779"/>
      <c r="N22" s="779"/>
      <c r="O22" s="779"/>
      <c r="P22" s="779"/>
      <c r="Q22" s="779"/>
    </row>
    <row r="23" spans="1:17" ht="6" hidden="1" customHeight="1" x14ac:dyDescent="0.25">
      <c r="A23" s="813" t="s">
        <v>297</v>
      </c>
      <c r="B23" s="533"/>
      <c r="C23" s="533"/>
      <c r="D23" s="533"/>
      <c r="E23" s="533"/>
      <c r="F23" s="533"/>
      <c r="G23" s="533"/>
      <c r="H23" s="533"/>
      <c r="I23" s="533"/>
      <c r="J23" s="533"/>
      <c r="K23" s="533"/>
      <c r="L23" s="533"/>
      <c r="M23" s="533"/>
      <c r="N23" s="533"/>
      <c r="O23" s="533"/>
      <c r="P23" s="533"/>
      <c r="Q23" s="533"/>
    </row>
    <row r="24" spans="1:17" s="229" customFormat="1" ht="6" hidden="1" customHeight="1" x14ac:dyDescent="0.25">
      <c r="A24" s="533" t="s">
        <v>298</v>
      </c>
      <c r="B24" s="533"/>
      <c r="C24" s="533"/>
      <c r="D24" s="533"/>
      <c r="E24" s="533"/>
      <c r="F24" s="533"/>
      <c r="G24" s="533"/>
      <c r="H24" s="533"/>
      <c r="I24" s="533"/>
      <c r="J24" s="533"/>
      <c r="K24" s="533"/>
      <c r="L24" s="533"/>
      <c r="M24" s="533"/>
      <c r="N24" s="533"/>
      <c r="O24" s="533"/>
      <c r="P24" s="533"/>
      <c r="Q24" s="533"/>
    </row>
    <row r="25" spans="1:17" ht="6" hidden="1" customHeight="1" x14ac:dyDescent="0.25">
      <c r="A25" s="813" t="s">
        <v>299</v>
      </c>
      <c r="B25" s="533"/>
      <c r="C25" s="533"/>
      <c r="D25" s="533"/>
      <c r="E25" s="533"/>
      <c r="F25" s="533"/>
      <c r="G25" s="533"/>
      <c r="H25" s="533"/>
      <c r="I25" s="533"/>
      <c r="J25" s="533"/>
      <c r="K25" s="533"/>
      <c r="L25" s="533"/>
      <c r="M25" s="533"/>
      <c r="N25" s="533"/>
      <c r="O25" s="533"/>
      <c r="P25" s="533"/>
      <c r="Q25" s="533"/>
    </row>
    <row r="26" spans="1:17" ht="6" hidden="1" customHeight="1" x14ac:dyDescent="0.25">
      <c r="A26" s="533" t="s">
        <v>300</v>
      </c>
      <c r="B26" s="533"/>
      <c r="C26" s="533"/>
      <c r="D26" s="533"/>
      <c r="E26" s="533"/>
      <c r="F26" s="533"/>
      <c r="G26" s="533"/>
      <c r="H26" s="533"/>
      <c r="I26" s="533"/>
      <c r="J26" s="533"/>
      <c r="K26" s="533"/>
      <c r="L26" s="533"/>
      <c r="M26" s="533"/>
      <c r="N26" s="533"/>
      <c r="O26" s="533"/>
      <c r="P26" s="533"/>
      <c r="Q26" s="533"/>
    </row>
    <row r="27" spans="1:17" ht="6" hidden="1" customHeight="1" x14ac:dyDescent="0.25">
      <c r="A27" s="813" t="s">
        <v>301</v>
      </c>
      <c r="B27" s="533"/>
      <c r="C27" s="533"/>
      <c r="D27" s="533"/>
      <c r="E27" s="533"/>
      <c r="F27" s="533"/>
      <c r="G27" s="533"/>
      <c r="H27" s="533"/>
      <c r="I27" s="533"/>
      <c r="J27" s="533"/>
      <c r="K27" s="533"/>
      <c r="L27" s="533"/>
      <c r="M27" s="533"/>
      <c r="N27" s="533"/>
      <c r="O27" s="533"/>
      <c r="P27" s="533"/>
      <c r="Q27" s="533"/>
    </row>
    <row r="28" spans="1:17" ht="6" hidden="1" customHeight="1" thickBot="1" x14ac:dyDescent="0.3">
      <c r="A28" s="533" t="s">
        <v>302</v>
      </c>
      <c r="B28" s="533"/>
      <c r="C28" s="533"/>
      <c r="D28" s="533"/>
      <c r="E28" s="533"/>
      <c r="F28" s="533"/>
      <c r="G28" s="533"/>
      <c r="H28" s="533"/>
      <c r="I28" s="533"/>
      <c r="J28" s="533"/>
      <c r="K28" s="533"/>
      <c r="L28" s="533"/>
      <c r="M28" s="533"/>
      <c r="N28" s="533"/>
      <c r="O28" s="533"/>
      <c r="P28" s="533"/>
      <c r="Q28" s="533"/>
    </row>
    <row r="29" spans="1:17" ht="56.45" customHeight="1" thickBot="1" x14ac:dyDescent="0.3">
      <c r="A29" s="773" t="s">
        <v>303</v>
      </c>
      <c r="B29" s="774"/>
      <c r="C29" s="774"/>
      <c r="D29" s="774"/>
      <c r="E29" s="774"/>
      <c r="F29" s="774"/>
      <c r="G29" s="774"/>
      <c r="H29" s="774"/>
      <c r="I29" s="774"/>
      <c r="J29" s="774"/>
      <c r="K29" s="774"/>
      <c r="L29" s="774"/>
      <c r="M29" s="774"/>
      <c r="N29" s="774"/>
      <c r="O29" s="774"/>
      <c r="P29" s="774"/>
      <c r="Q29" s="775"/>
    </row>
    <row r="30" spans="1:17" ht="21.2" customHeight="1" x14ac:dyDescent="0.25">
      <c r="A30" s="812" t="s">
        <v>304</v>
      </c>
      <c r="B30" s="812"/>
      <c r="C30" s="812"/>
      <c r="D30" s="812"/>
      <c r="E30" s="812"/>
      <c r="F30" s="812"/>
      <c r="G30" s="812"/>
      <c r="H30" s="812"/>
      <c r="I30" s="812"/>
      <c r="J30" s="812"/>
      <c r="K30" s="812"/>
      <c r="L30" s="812"/>
      <c r="M30" s="812"/>
      <c r="N30" s="812"/>
      <c r="O30" s="812"/>
      <c r="P30" s="812"/>
      <c r="Q30" s="812"/>
    </row>
    <row r="31" spans="1:17" ht="89.85" customHeight="1" x14ac:dyDescent="0.25">
      <c r="A31" s="230" t="s">
        <v>305</v>
      </c>
      <c r="B31" s="800" t="s">
        <v>306</v>
      </c>
      <c r="C31" s="800"/>
      <c r="D31" s="800"/>
      <c r="E31" s="302">
        <f>'ES Metodologia'!B5</f>
        <v>8.3299999999999999E-2</v>
      </c>
      <c r="F31" s="797" t="s">
        <v>407</v>
      </c>
      <c r="G31" s="797"/>
      <c r="H31" s="797"/>
      <c r="I31" s="797"/>
      <c r="J31" s="797"/>
      <c r="K31" s="797"/>
      <c r="L31" s="797"/>
      <c r="M31" s="797"/>
      <c r="N31" s="797"/>
      <c r="O31" s="797"/>
      <c r="P31" s="797"/>
      <c r="Q31" s="797"/>
    </row>
    <row r="32" spans="1:17" ht="117.75" customHeight="1" x14ac:dyDescent="0.25">
      <c r="A32" s="230" t="s">
        <v>307</v>
      </c>
      <c r="B32" s="800" t="s">
        <v>308</v>
      </c>
      <c r="C32" s="800"/>
      <c r="D32" s="800"/>
      <c r="E32" s="302">
        <f>'ES Metodologia'!B6</f>
        <v>2.7799999999999998E-2</v>
      </c>
      <c r="F32" s="669" t="s">
        <v>408</v>
      </c>
      <c r="G32" s="669"/>
      <c r="H32" s="669"/>
      <c r="I32" s="669"/>
      <c r="J32" s="669"/>
      <c r="K32" s="669"/>
      <c r="L32" s="669"/>
      <c r="M32" s="669"/>
      <c r="N32" s="669"/>
      <c r="O32" s="669"/>
      <c r="P32" s="669"/>
      <c r="Q32" s="669"/>
    </row>
    <row r="33" spans="1:17" s="232" customFormat="1" ht="47.25" customHeight="1" x14ac:dyDescent="0.25">
      <c r="A33" s="231" t="s">
        <v>309</v>
      </c>
      <c r="B33" s="771" t="s">
        <v>310</v>
      </c>
      <c r="C33" s="771"/>
      <c r="D33" s="771"/>
      <c r="E33" s="303">
        <f>'ES Metodologia'!B8</f>
        <v>3.9218300000000005E-2</v>
      </c>
      <c r="F33" s="797" t="s">
        <v>311</v>
      </c>
      <c r="G33" s="797"/>
      <c r="H33" s="797"/>
      <c r="I33" s="797"/>
      <c r="J33" s="797"/>
      <c r="K33" s="797"/>
      <c r="L33" s="797"/>
      <c r="M33" s="797"/>
      <c r="N33" s="797"/>
      <c r="O33" s="797"/>
      <c r="P33" s="797"/>
      <c r="Q33" s="797"/>
    </row>
    <row r="34" spans="1:17" s="232" customFormat="1" ht="15" customHeight="1" x14ac:dyDescent="0.25">
      <c r="A34" s="770" t="s">
        <v>1</v>
      </c>
      <c r="B34" s="770"/>
      <c r="C34" s="770"/>
      <c r="D34" s="770"/>
      <c r="E34" s="304">
        <f>SUM(E31:E33)</f>
        <v>0.15031830000000002</v>
      </c>
      <c r="F34" s="770" t="s">
        <v>312</v>
      </c>
      <c r="G34" s="770"/>
      <c r="H34" s="770"/>
      <c r="I34" s="770"/>
      <c r="J34" s="770"/>
      <c r="K34" s="770"/>
      <c r="L34" s="770"/>
      <c r="M34" s="770"/>
      <c r="N34" s="770"/>
      <c r="O34" s="770"/>
      <c r="P34" s="770"/>
      <c r="Q34" s="770"/>
    </row>
    <row r="35" spans="1:17" s="232" customFormat="1" ht="33.75" customHeight="1" x14ac:dyDescent="0.25">
      <c r="A35" s="808" t="s">
        <v>274</v>
      </c>
      <c r="B35" s="809"/>
      <c r="C35" s="809"/>
      <c r="D35" s="809"/>
      <c r="E35" s="809"/>
      <c r="F35" s="809"/>
      <c r="G35" s="809"/>
      <c r="H35" s="809"/>
      <c r="I35" s="809"/>
      <c r="J35" s="809"/>
      <c r="K35" s="809"/>
      <c r="L35" s="809"/>
      <c r="M35" s="809"/>
      <c r="N35" s="809"/>
      <c r="O35" s="809"/>
      <c r="P35" s="809"/>
      <c r="Q35" s="809"/>
    </row>
    <row r="36" spans="1:17" s="232" customFormat="1" ht="18.75" customHeight="1" x14ac:dyDescent="0.25">
      <c r="A36" s="770" t="s">
        <v>313</v>
      </c>
      <c r="B36" s="770"/>
      <c r="C36" s="770"/>
      <c r="D36" s="770"/>
      <c r="E36" s="770"/>
      <c r="F36" s="770"/>
      <c r="G36" s="770"/>
      <c r="H36" s="770"/>
      <c r="I36" s="770"/>
      <c r="J36" s="770"/>
      <c r="K36" s="770"/>
      <c r="L36" s="770"/>
      <c r="M36" s="770"/>
      <c r="N36" s="770"/>
      <c r="O36" s="770"/>
      <c r="P36" s="770"/>
      <c r="Q36" s="770"/>
    </row>
    <row r="37" spans="1:17" s="232" customFormat="1" ht="32.25" customHeight="1" x14ac:dyDescent="0.25">
      <c r="A37" s="231" t="s">
        <v>305</v>
      </c>
      <c r="B37" s="771" t="s">
        <v>314</v>
      </c>
      <c r="C37" s="771"/>
      <c r="D37" s="771"/>
      <c r="E37" s="303">
        <f>'ES Metodologia'!B12</f>
        <v>0.2</v>
      </c>
      <c r="F37" s="797" t="s">
        <v>315</v>
      </c>
      <c r="G37" s="797"/>
      <c r="H37" s="797"/>
      <c r="I37" s="797"/>
      <c r="J37" s="797"/>
      <c r="K37" s="797"/>
      <c r="L37" s="797"/>
      <c r="M37" s="797"/>
      <c r="N37" s="797"/>
      <c r="O37" s="797"/>
      <c r="P37" s="797"/>
      <c r="Q37" s="797"/>
    </row>
    <row r="38" spans="1:17" s="232" customFormat="1" ht="42.75" customHeight="1" x14ac:dyDescent="0.25">
      <c r="A38" s="231" t="s">
        <v>307</v>
      </c>
      <c r="B38" s="771" t="s">
        <v>316</v>
      </c>
      <c r="C38" s="771"/>
      <c r="D38" s="771"/>
      <c r="E38" s="303">
        <f>'ES Metodologia'!B13</f>
        <v>2.5000000000000001E-2</v>
      </c>
      <c r="F38" s="797" t="s">
        <v>317</v>
      </c>
      <c r="G38" s="797"/>
      <c r="H38" s="797"/>
      <c r="I38" s="797"/>
      <c r="J38" s="797"/>
      <c r="K38" s="797"/>
      <c r="L38" s="797"/>
      <c r="M38" s="797"/>
      <c r="N38" s="797"/>
      <c r="O38" s="797"/>
      <c r="P38" s="797"/>
      <c r="Q38" s="797"/>
    </row>
    <row r="39" spans="1:17" s="232" customFormat="1" ht="47.25" customHeight="1" x14ac:dyDescent="0.25">
      <c r="A39" s="231" t="s">
        <v>309</v>
      </c>
      <c r="B39" s="771" t="s">
        <v>318</v>
      </c>
      <c r="C39" s="771"/>
      <c r="D39" s="771"/>
      <c r="E39" s="303">
        <f>'ES Metodologia'!B14</f>
        <v>1.4999999999999999E-2</v>
      </c>
      <c r="F39" s="797" t="s">
        <v>394</v>
      </c>
      <c r="G39" s="797"/>
      <c r="H39" s="797"/>
      <c r="I39" s="797"/>
      <c r="J39" s="797"/>
      <c r="K39" s="797"/>
      <c r="L39" s="797"/>
      <c r="M39" s="797"/>
      <c r="N39" s="797"/>
      <c r="O39" s="797"/>
      <c r="P39" s="797"/>
      <c r="Q39" s="797"/>
    </row>
    <row r="40" spans="1:17" s="232" customFormat="1" ht="69" customHeight="1" x14ac:dyDescent="0.25">
      <c r="A40" s="231" t="s">
        <v>319</v>
      </c>
      <c r="B40" s="771" t="s">
        <v>320</v>
      </c>
      <c r="C40" s="771"/>
      <c r="D40" s="771"/>
      <c r="E40" s="303">
        <f>'ES Metodologia'!B15</f>
        <v>1.4999999999999999E-2</v>
      </c>
      <c r="F40" s="797" t="s">
        <v>395</v>
      </c>
      <c r="G40" s="797"/>
      <c r="H40" s="797"/>
      <c r="I40" s="797"/>
      <c r="J40" s="797"/>
      <c r="K40" s="797"/>
      <c r="L40" s="797"/>
      <c r="M40" s="797"/>
      <c r="N40" s="797"/>
      <c r="O40" s="797"/>
      <c r="P40" s="797"/>
      <c r="Q40" s="797"/>
    </row>
    <row r="41" spans="1:17" s="232" customFormat="1" ht="58.5" customHeight="1" x14ac:dyDescent="0.25">
      <c r="A41" s="231" t="s">
        <v>321</v>
      </c>
      <c r="B41" s="771" t="s">
        <v>322</v>
      </c>
      <c r="C41" s="771"/>
      <c r="D41" s="771"/>
      <c r="E41" s="303">
        <f>'ES Metodologia'!B16</f>
        <v>0.01</v>
      </c>
      <c r="F41" s="797" t="s">
        <v>396</v>
      </c>
      <c r="G41" s="797"/>
      <c r="H41" s="797"/>
      <c r="I41" s="797"/>
      <c r="J41" s="797"/>
      <c r="K41" s="797"/>
      <c r="L41" s="797"/>
      <c r="M41" s="797"/>
      <c r="N41" s="797"/>
      <c r="O41" s="797"/>
      <c r="P41" s="797"/>
      <c r="Q41" s="797"/>
    </row>
    <row r="42" spans="1:17" s="232" customFormat="1" ht="37.5" customHeight="1" x14ac:dyDescent="0.25">
      <c r="A42" s="231" t="s">
        <v>323</v>
      </c>
      <c r="B42" s="771" t="s">
        <v>324</v>
      </c>
      <c r="C42" s="771"/>
      <c r="D42" s="771"/>
      <c r="E42" s="303">
        <f>'ES Metodologia'!B17</f>
        <v>6.0000000000000001E-3</v>
      </c>
      <c r="F42" s="797" t="s">
        <v>325</v>
      </c>
      <c r="G42" s="797"/>
      <c r="H42" s="797"/>
      <c r="I42" s="797"/>
      <c r="J42" s="797"/>
      <c r="K42" s="797"/>
      <c r="L42" s="797"/>
      <c r="M42" s="797"/>
      <c r="N42" s="797"/>
      <c r="O42" s="797"/>
      <c r="P42" s="797"/>
      <c r="Q42" s="797"/>
    </row>
    <row r="43" spans="1:17" s="232" customFormat="1" ht="36" customHeight="1" x14ac:dyDescent="0.25">
      <c r="A43" s="231" t="s">
        <v>326</v>
      </c>
      <c r="B43" s="771" t="s">
        <v>327</v>
      </c>
      <c r="C43" s="771"/>
      <c r="D43" s="771"/>
      <c r="E43" s="303">
        <f>'ES Metodologia'!B18</f>
        <v>2E-3</v>
      </c>
      <c r="F43" s="797" t="s">
        <v>328</v>
      </c>
      <c r="G43" s="797"/>
      <c r="H43" s="797"/>
      <c r="I43" s="797"/>
      <c r="J43" s="797"/>
      <c r="K43" s="797"/>
      <c r="L43" s="797"/>
      <c r="M43" s="797"/>
      <c r="N43" s="797"/>
      <c r="O43" s="797"/>
      <c r="P43" s="797"/>
      <c r="Q43" s="797"/>
    </row>
    <row r="44" spans="1:17" s="232" customFormat="1" ht="41.25" customHeight="1" x14ac:dyDescent="0.25">
      <c r="A44" s="231" t="s">
        <v>329</v>
      </c>
      <c r="B44" s="771" t="s">
        <v>330</v>
      </c>
      <c r="C44" s="771"/>
      <c r="D44" s="771"/>
      <c r="E44" s="303">
        <f>'ES Metodologia'!B19</f>
        <v>0.08</v>
      </c>
      <c r="F44" s="797" t="s">
        <v>331</v>
      </c>
      <c r="G44" s="797"/>
      <c r="H44" s="797"/>
      <c r="I44" s="797"/>
      <c r="J44" s="797"/>
      <c r="K44" s="797"/>
      <c r="L44" s="797"/>
      <c r="M44" s="797"/>
      <c r="N44" s="797"/>
      <c r="O44" s="797"/>
      <c r="P44" s="797"/>
      <c r="Q44" s="797"/>
    </row>
    <row r="45" spans="1:17" s="232" customFormat="1" ht="15" customHeight="1" x14ac:dyDescent="0.25">
      <c r="A45" s="770" t="s">
        <v>1</v>
      </c>
      <c r="B45" s="770"/>
      <c r="C45" s="770"/>
      <c r="D45" s="770"/>
      <c r="E45" s="304">
        <f>SUM(E37:E44)</f>
        <v>0.35300000000000004</v>
      </c>
      <c r="F45" s="771" t="s">
        <v>332</v>
      </c>
      <c r="G45" s="771"/>
      <c r="H45" s="771"/>
      <c r="I45" s="771"/>
      <c r="J45" s="771"/>
      <c r="K45" s="771"/>
      <c r="L45" s="771"/>
      <c r="M45" s="771"/>
      <c r="N45" s="771"/>
      <c r="O45" s="771"/>
      <c r="P45" s="771"/>
      <c r="Q45" s="771"/>
    </row>
    <row r="46" spans="1:17" s="232" customFormat="1" ht="2.1" customHeight="1" x14ac:dyDescent="0.25">
      <c r="A46" s="233"/>
      <c r="B46" s="233"/>
      <c r="C46" s="233"/>
      <c r="D46" s="233"/>
      <c r="E46" s="305"/>
      <c r="F46" s="234"/>
      <c r="G46" s="234"/>
      <c r="H46" s="234"/>
      <c r="I46" s="234"/>
      <c r="J46" s="234"/>
      <c r="K46" s="234"/>
      <c r="L46" s="234"/>
      <c r="M46" s="234"/>
      <c r="N46" s="234"/>
      <c r="O46" s="234"/>
      <c r="P46" s="234"/>
      <c r="Q46" s="234"/>
    </row>
    <row r="47" spans="1:17" s="232" customFormat="1" ht="24.75" customHeight="1" x14ac:dyDescent="0.25">
      <c r="A47" s="793" t="s">
        <v>275</v>
      </c>
      <c r="B47" s="794"/>
      <c r="C47" s="794"/>
      <c r="D47" s="794"/>
      <c r="E47" s="794"/>
      <c r="F47" s="794"/>
      <c r="G47" s="794"/>
      <c r="H47" s="794"/>
      <c r="I47" s="794"/>
      <c r="J47" s="794"/>
      <c r="K47" s="794"/>
      <c r="L47" s="794"/>
      <c r="M47" s="794"/>
      <c r="N47" s="794"/>
      <c r="O47" s="794"/>
      <c r="P47" s="794"/>
      <c r="Q47" s="794"/>
    </row>
    <row r="48" spans="1:17" s="232" customFormat="1" ht="21" customHeight="1" x14ac:dyDescent="0.25">
      <c r="A48" s="799" t="s">
        <v>271</v>
      </c>
      <c r="B48" s="799"/>
      <c r="C48" s="799"/>
      <c r="D48" s="799"/>
      <c r="E48" s="799"/>
      <c r="F48" s="799"/>
      <c r="G48" s="799"/>
      <c r="H48" s="799"/>
      <c r="I48" s="799"/>
      <c r="J48" s="799"/>
      <c r="K48" s="799"/>
      <c r="L48" s="799"/>
      <c r="M48" s="799"/>
      <c r="N48" s="799"/>
      <c r="O48" s="799"/>
      <c r="P48" s="799"/>
      <c r="Q48" s="799"/>
    </row>
    <row r="49" spans="1:17" s="235" customFormat="1" ht="18.95" customHeight="1" x14ac:dyDescent="0.25">
      <c r="A49" s="795" t="s">
        <v>333</v>
      </c>
      <c r="B49" s="796"/>
      <c r="C49" s="796"/>
      <c r="D49" s="796"/>
      <c r="E49" s="796"/>
      <c r="F49" s="796"/>
      <c r="G49" s="796"/>
      <c r="H49" s="796"/>
      <c r="I49" s="796"/>
      <c r="J49" s="796"/>
      <c r="K49" s="796"/>
      <c r="L49" s="796"/>
      <c r="M49" s="796"/>
      <c r="N49" s="796"/>
      <c r="O49" s="796"/>
      <c r="P49" s="796"/>
      <c r="Q49" s="796"/>
    </row>
    <row r="50" spans="1:17" s="229" customFormat="1" ht="38.25" customHeight="1" x14ac:dyDescent="0.25">
      <c r="A50" s="770" t="s">
        <v>197</v>
      </c>
      <c r="B50" s="770"/>
      <c r="C50" s="770"/>
      <c r="D50" s="770" t="s">
        <v>334</v>
      </c>
      <c r="E50" s="770"/>
      <c r="F50" s="770"/>
      <c r="G50" s="236" t="s">
        <v>118</v>
      </c>
      <c r="H50" s="770" t="s">
        <v>335</v>
      </c>
      <c r="I50" s="770"/>
      <c r="J50" s="770"/>
      <c r="K50" s="770"/>
      <c r="L50" s="770" t="s">
        <v>336</v>
      </c>
      <c r="M50" s="770"/>
      <c r="N50" s="770"/>
      <c r="O50" s="770"/>
      <c r="P50" s="770"/>
      <c r="Q50" s="770"/>
    </row>
    <row r="51" spans="1:17" s="235" customFormat="1" ht="21.75" customHeight="1" x14ac:dyDescent="0.25">
      <c r="A51" s="770" t="s">
        <v>337</v>
      </c>
      <c r="B51" s="770"/>
      <c r="C51" s="770"/>
      <c r="D51" s="771" t="s">
        <v>338</v>
      </c>
      <c r="E51" s="771"/>
      <c r="F51" s="771"/>
      <c r="G51" s="237">
        <f>'Anexo VI'!E9</f>
        <v>21</v>
      </c>
      <c r="H51" s="771" t="str">
        <f>'Anexo VI'!F9</f>
        <v>R$ 5,50</v>
      </c>
      <c r="I51" s="771"/>
      <c r="J51" s="771"/>
      <c r="K51" s="771"/>
      <c r="L51" s="771" t="s">
        <v>340</v>
      </c>
      <c r="M51" s="771"/>
      <c r="N51" s="771"/>
      <c r="O51" s="771"/>
      <c r="P51" s="771"/>
      <c r="Q51" s="771"/>
    </row>
    <row r="52" spans="1:17" s="235" customFormat="1" ht="19.5" customHeight="1" x14ac:dyDescent="0.25">
      <c r="A52" s="770"/>
      <c r="B52" s="770"/>
      <c r="C52" s="770"/>
      <c r="D52" s="771" t="s">
        <v>341</v>
      </c>
      <c r="E52" s="771"/>
      <c r="F52" s="771"/>
      <c r="G52" s="237">
        <f>'Anexo VI'!E10</f>
        <v>21</v>
      </c>
      <c r="H52" s="771" t="str">
        <f>'Anexo VI'!F10</f>
        <v>R$ 5,50</v>
      </c>
      <c r="I52" s="771"/>
      <c r="J52" s="771"/>
      <c r="K52" s="771"/>
      <c r="L52" s="771" t="s">
        <v>340</v>
      </c>
      <c r="M52" s="771"/>
      <c r="N52" s="771"/>
      <c r="O52" s="771"/>
      <c r="P52" s="771"/>
      <c r="Q52" s="771"/>
    </row>
    <row r="53" spans="1:17" s="235" customFormat="1" ht="15" customHeight="1" x14ac:dyDescent="0.25">
      <c r="A53" s="691" t="s">
        <v>387</v>
      </c>
      <c r="B53" s="691"/>
      <c r="C53" s="691"/>
      <c r="D53" s="691"/>
      <c r="E53" s="691"/>
      <c r="F53" s="691"/>
      <c r="G53" s="691"/>
      <c r="H53" s="691"/>
      <c r="I53" s="691"/>
      <c r="J53" s="691"/>
      <c r="K53" s="691"/>
      <c r="L53" s="691" t="s">
        <v>342</v>
      </c>
      <c r="M53" s="691"/>
      <c r="N53" s="691"/>
      <c r="O53" s="691"/>
      <c r="P53" s="691"/>
      <c r="Q53" s="691"/>
    </row>
    <row r="54" spans="1:17" s="235" customFormat="1" ht="15" customHeight="1" x14ac:dyDescent="0.25">
      <c r="A54" s="691" t="s">
        <v>388</v>
      </c>
      <c r="B54" s="691"/>
      <c r="C54" s="691"/>
      <c r="D54" s="691"/>
      <c r="E54" s="691"/>
      <c r="F54" s="691"/>
      <c r="G54" s="691"/>
      <c r="H54" s="691"/>
      <c r="I54" s="691"/>
      <c r="J54" s="691"/>
      <c r="K54" s="691"/>
      <c r="L54" s="798">
        <f>2192.65*-6%</f>
        <v>-131.559</v>
      </c>
      <c r="M54" s="798"/>
      <c r="N54" s="798"/>
      <c r="O54" s="798"/>
      <c r="P54" s="798"/>
      <c r="Q54" s="798"/>
    </row>
    <row r="55" spans="1:17" s="235" customFormat="1" ht="15" customHeight="1" x14ac:dyDescent="0.25">
      <c r="A55" s="691" t="s">
        <v>389</v>
      </c>
      <c r="B55" s="691"/>
      <c r="C55" s="691"/>
      <c r="D55" s="691"/>
      <c r="E55" s="691"/>
      <c r="F55" s="691"/>
      <c r="G55" s="691"/>
      <c r="H55" s="691"/>
      <c r="I55" s="691"/>
      <c r="J55" s="691"/>
      <c r="K55" s="691"/>
      <c r="L55" s="798">
        <f>L53+L54</f>
        <v>99.441000000000003</v>
      </c>
      <c r="M55" s="691"/>
      <c r="N55" s="691"/>
      <c r="O55" s="691"/>
      <c r="P55" s="691"/>
      <c r="Q55" s="691"/>
    </row>
    <row r="56" spans="1:17" s="232" customFormat="1" ht="15" customHeight="1" x14ac:dyDescent="0.25">
      <c r="A56" s="771" t="s">
        <v>399</v>
      </c>
      <c r="B56" s="694"/>
      <c r="C56" s="694"/>
      <c r="D56" s="694"/>
      <c r="E56" s="694"/>
      <c r="F56" s="694"/>
      <c r="G56" s="694"/>
      <c r="H56" s="694"/>
      <c r="I56" s="694"/>
      <c r="J56" s="694"/>
      <c r="K56" s="694"/>
      <c r="L56" s="694"/>
      <c r="M56" s="694"/>
      <c r="N56" s="694"/>
      <c r="O56" s="694"/>
      <c r="P56" s="694"/>
      <c r="Q56" s="694"/>
    </row>
    <row r="57" spans="1:17" s="232" customFormat="1" ht="24.95" customHeight="1" x14ac:dyDescent="0.25">
      <c r="A57" s="770" t="s">
        <v>400</v>
      </c>
      <c r="B57" s="770"/>
      <c r="C57" s="770"/>
      <c r="D57" s="770"/>
      <c r="E57" s="770"/>
      <c r="F57" s="770"/>
      <c r="G57" s="770"/>
      <c r="H57" s="770"/>
      <c r="I57" s="770"/>
      <c r="J57" s="770"/>
      <c r="K57" s="770"/>
      <c r="L57" s="770"/>
      <c r="M57" s="770"/>
      <c r="N57" s="770"/>
      <c r="O57" s="770"/>
      <c r="P57" s="770"/>
      <c r="Q57" s="770"/>
    </row>
    <row r="58" spans="1:17" s="235" customFormat="1" ht="5.0999999999999996" customHeight="1" x14ac:dyDescent="0.25">
      <c r="A58" s="767"/>
      <c r="B58" s="768"/>
      <c r="C58" s="768"/>
      <c r="D58" s="768"/>
      <c r="E58" s="768"/>
      <c r="F58" s="768"/>
      <c r="G58" s="768"/>
      <c r="H58" s="768"/>
      <c r="I58" s="768"/>
      <c r="J58" s="768"/>
      <c r="K58" s="768"/>
      <c r="L58" s="768"/>
      <c r="M58" s="768"/>
      <c r="N58" s="768"/>
      <c r="O58" s="768"/>
      <c r="P58" s="768"/>
      <c r="Q58" s="769"/>
    </row>
    <row r="59" spans="1:17" s="235" customFormat="1" ht="15" customHeight="1" x14ac:dyDescent="0.25">
      <c r="A59" s="770" t="s">
        <v>343</v>
      </c>
      <c r="B59" s="770"/>
      <c r="C59" s="770"/>
      <c r="D59" s="772" t="s">
        <v>338</v>
      </c>
      <c r="E59" s="772"/>
      <c r="F59" s="772"/>
      <c r="G59" s="238">
        <f>'Anexo VI'!E15</f>
        <v>15</v>
      </c>
      <c r="H59" s="772" t="str">
        <f>'Anexo VI'!F15</f>
        <v>R$ 5,50</v>
      </c>
      <c r="I59" s="772"/>
      <c r="J59" s="772"/>
      <c r="K59" s="772"/>
      <c r="L59" s="772" t="s">
        <v>344</v>
      </c>
      <c r="M59" s="772"/>
      <c r="N59" s="772"/>
      <c r="O59" s="772"/>
      <c r="P59" s="772"/>
      <c r="Q59" s="772"/>
    </row>
    <row r="60" spans="1:17" s="235" customFormat="1" ht="15" customHeight="1" x14ac:dyDescent="0.25">
      <c r="A60" s="770"/>
      <c r="B60" s="770"/>
      <c r="C60" s="770"/>
      <c r="D60" s="772" t="s">
        <v>341</v>
      </c>
      <c r="E60" s="772"/>
      <c r="F60" s="772"/>
      <c r="G60" s="238">
        <f>'Anexo VI'!E16</f>
        <v>15</v>
      </c>
      <c r="H60" s="772" t="str">
        <f>'Anexo VI'!F16</f>
        <v>R$ 5,50</v>
      </c>
      <c r="I60" s="772"/>
      <c r="J60" s="772"/>
      <c r="K60" s="772"/>
      <c r="L60" s="772" t="s">
        <v>344</v>
      </c>
      <c r="M60" s="772"/>
      <c r="N60" s="772"/>
      <c r="O60" s="772"/>
      <c r="P60" s="772"/>
      <c r="Q60" s="772"/>
    </row>
    <row r="61" spans="1:17" s="235" customFormat="1" ht="15" customHeight="1" x14ac:dyDescent="0.25">
      <c r="A61" s="691" t="s">
        <v>387</v>
      </c>
      <c r="B61" s="691"/>
      <c r="C61" s="691"/>
      <c r="D61" s="691"/>
      <c r="E61" s="691"/>
      <c r="F61" s="691"/>
      <c r="G61" s="691"/>
      <c r="H61" s="691"/>
      <c r="I61" s="691"/>
      <c r="J61" s="691"/>
      <c r="K61" s="691"/>
      <c r="L61" s="691" t="s">
        <v>345</v>
      </c>
      <c r="M61" s="691"/>
      <c r="N61" s="691"/>
      <c r="O61" s="691"/>
      <c r="P61" s="691"/>
      <c r="Q61" s="691"/>
    </row>
    <row r="62" spans="1:17" s="235" customFormat="1" ht="15" customHeight="1" x14ac:dyDescent="0.25">
      <c r="A62" s="691" t="s">
        <v>388</v>
      </c>
      <c r="B62" s="691"/>
      <c r="C62" s="691"/>
      <c r="D62" s="691"/>
      <c r="E62" s="691"/>
      <c r="F62" s="691"/>
      <c r="G62" s="691"/>
      <c r="H62" s="691"/>
      <c r="I62" s="691"/>
      <c r="J62" s="691"/>
      <c r="K62" s="691"/>
      <c r="L62" s="798">
        <f>2192.65*-6%</f>
        <v>-131.559</v>
      </c>
      <c r="M62" s="798"/>
      <c r="N62" s="798"/>
      <c r="O62" s="798"/>
      <c r="P62" s="798"/>
      <c r="Q62" s="798"/>
    </row>
    <row r="63" spans="1:17" s="235" customFormat="1" ht="15" customHeight="1" x14ac:dyDescent="0.25">
      <c r="A63" s="691" t="s">
        <v>389</v>
      </c>
      <c r="B63" s="691"/>
      <c r="C63" s="691"/>
      <c r="D63" s="691"/>
      <c r="E63" s="691"/>
      <c r="F63" s="691"/>
      <c r="G63" s="691"/>
      <c r="H63" s="691"/>
      <c r="I63" s="691"/>
      <c r="J63" s="691"/>
      <c r="K63" s="691"/>
      <c r="L63" s="798">
        <f>L61+L62</f>
        <v>33.441000000000003</v>
      </c>
      <c r="M63" s="691"/>
      <c r="N63" s="691"/>
      <c r="O63" s="691"/>
      <c r="P63" s="691"/>
      <c r="Q63" s="691"/>
    </row>
    <row r="64" spans="1:17" s="232" customFormat="1" ht="15" customHeight="1" x14ac:dyDescent="0.25">
      <c r="A64" s="771" t="s">
        <v>397</v>
      </c>
      <c r="B64" s="694"/>
      <c r="C64" s="694"/>
      <c r="D64" s="694"/>
      <c r="E64" s="694"/>
      <c r="F64" s="694"/>
      <c r="G64" s="694"/>
      <c r="H64" s="694"/>
      <c r="I64" s="694"/>
      <c r="J64" s="694"/>
      <c r="K64" s="694"/>
      <c r="L64" s="694"/>
      <c r="M64" s="694"/>
      <c r="N64" s="694"/>
      <c r="O64" s="694"/>
      <c r="P64" s="694"/>
      <c r="Q64" s="694"/>
    </row>
    <row r="65" spans="1:17" s="232" customFormat="1" ht="24.95" customHeight="1" x14ac:dyDescent="0.25">
      <c r="A65" s="770" t="s">
        <v>398</v>
      </c>
      <c r="B65" s="770"/>
      <c r="C65" s="770"/>
      <c r="D65" s="770"/>
      <c r="E65" s="770"/>
      <c r="F65" s="770"/>
      <c r="G65" s="770"/>
      <c r="H65" s="770"/>
      <c r="I65" s="770"/>
      <c r="J65" s="770"/>
      <c r="K65" s="770"/>
      <c r="L65" s="770"/>
      <c r="M65" s="770"/>
      <c r="N65" s="770"/>
      <c r="O65" s="770"/>
      <c r="P65" s="770"/>
      <c r="Q65" s="770"/>
    </row>
    <row r="66" spans="1:17" ht="5.0999999999999996" customHeight="1" x14ac:dyDescent="0.25">
      <c r="A66" s="752"/>
      <c r="B66" s="752"/>
      <c r="C66" s="752"/>
      <c r="D66" s="752"/>
      <c r="E66" s="752"/>
      <c r="F66" s="752"/>
      <c r="G66" s="752"/>
      <c r="H66" s="752"/>
      <c r="I66" s="752"/>
      <c r="J66" s="752"/>
      <c r="K66" s="752"/>
      <c r="L66" s="752"/>
      <c r="M66" s="752"/>
      <c r="N66" s="752"/>
      <c r="O66" s="752"/>
      <c r="P66" s="752"/>
      <c r="Q66" s="752"/>
    </row>
    <row r="67" spans="1:17" s="239" customFormat="1" ht="16.5" customHeight="1" x14ac:dyDescent="0.25">
      <c r="A67" s="691" t="s">
        <v>346</v>
      </c>
      <c r="B67" s="691"/>
      <c r="C67" s="691"/>
      <c r="D67" s="691"/>
      <c r="E67" s="691"/>
      <c r="F67" s="691"/>
      <c r="G67" s="691"/>
      <c r="H67" s="691"/>
      <c r="I67" s="691"/>
      <c r="J67" s="691"/>
      <c r="K67" s="691"/>
      <c r="L67" s="691"/>
      <c r="M67" s="691"/>
      <c r="N67" s="691"/>
      <c r="O67" s="691"/>
      <c r="P67" s="691"/>
      <c r="Q67" s="691"/>
    </row>
    <row r="68" spans="1:17" s="239" customFormat="1" ht="13.5" customHeight="1" x14ac:dyDescent="0.25">
      <c r="A68" s="595" t="s">
        <v>347</v>
      </c>
      <c r="B68" s="595"/>
      <c r="C68" s="595"/>
      <c r="D68" s="595"/>
      <c r="E68" s="595"/>
      <c r="F68" s="595"/>
      <c r="G68" s="595"/>
      <c r="H68" s="595"/>
      <c r="I68" s="595"/>
      <c r="J68" s="595"/>
      <c r="K68" s="595"/>
      <c r="L68" s="595"/>
      <c r="M68" s="595"/>
      <c r="N68" s="595"/>
      <c r="O68" s="595"/>
      <c r="P68" s="595"/>
      <c r="Q68" s="595"/>
    </row>
    <row r="69" spans="1:17" s="239" customFormat="1" ht="13.5" customHeight="1" x14ac:dyDescent="0.25">
      <c r="A69" s="240" t="s">
        <v>197</v>
      </c>
      <c r="B69" s="762" t="s">
        <v>348</v>
      </c>
      <c r="C69" s="762"/>
      <c r="D69" s="762" t="s">
        <v>334</v>
      </c>
      <c r="E69" s="762"/>
      <c r="F69" s="240" t="s">
        <v>335</v>
      </c>
      <c r="G69" s="762" t="s">
        <v>336</v>
      </c>
      <c r="H69" s="762"/>
      <c r="I69" s="758" t="s">
        <v>349</v>
      </c>
      <c r="J69" s="758"/>
      <c r="K69" s="758"/>
      <c r="L69" s="759" t="s">
        <v>350</v>
      </c>
      <c r="M69" s="759"/>
      <c r="N69" s="759"/>
      <c r="O69" s="759"/>
      <c r="P69" s="759"/>
      <c r="Q69" s="759"/>
    </row>
    <row r="70" spans="1:17" s="239" customFormat="1" ht="13.5" customHeight="1" x14ac:dyDescent="0.25">
      <c r="A70" s="241">
        <v>1</v>
      </c>
      <c r="B70" s="763">
        <v>15</v>
      </c>
      <c r="C70" s="763"/>
      <c r="D70" s="758" t="s">
        <v>351</v>
      </c>
      <c r="E70" s="758"/>
      <c r="F70" s="242" t="s">
        <v>352</v>
      </c>
      <c r="G70" s="757">
        <f>F70*B70</f>
        <v>562.5</v>
      </c>
      <c r="H70" s="757"/>
      <c r="I70" s="757">
        <f>(F70*-2%)*B70</f>
        <v>-11.25</v>
      </c>
      <c r="J70" s="757"/>
      <c r="K70" s="757"/>
      <c r="L70" s="760">
        <f>G70+I70</f>
        <v>551.25</v>
      </c>
      <c r="M70" s="760"/>
      <c r="N70" s="760"/>
      <c r="O70" s="760"/>
      <c r="P70" s="760"/>
      <c r="Q70" s="760"/>
    </row>
    <row r="71" spans="1:17" s="239" customFormat="1" ht="13.5" customHeight="1" x14ac:dyDescent="0.25">
      <c r="A71" s="241">
        <v>2</v>
      </c>
      <c r="B71" s="763">
        <v>21</v>
      </c>
      <c r="C71" s="763"/>
      <c r="D71" s="758" t="s">
        <v>353</v>
      </c>
      <c r="E71" s="758"/>
      <c r="F71" s="242" t="s">
        <v>352</v>
      </c>
      <c r="G71" s="757">
        <f>F71*B71</f>
        <v>787.5</v>
      </c>
      <c r="H71" s="757"/>
      <c r="I71" s="757">
        <f>(F71*-2%)*B71</f>
        <v>-15.75</v>
      </c>
      <c r="J71" s="757"/>
      <c r="K71" s="757"/>
      <c r="L71" s="761">
        <f>G71+I71</f>
        <v>771.75</v>
      </c>
      <c r="M71" s="761"/>
      <c r="N71" s="761"/>
      <c r="O71" s="761"/>
      <c r="P71" s="761"/>
      <c r="Q71" s="761"/>
    </row>
    <row r="72" spans="1:17" s="239" customFormat="1" ht="47.25" customHeight="1" x14ac:dyDescent="0.25">
      <c r="A72" s="764" t="s">
        <v>401</v>
      </c>
      <c r="B72" s="765"/>
      <c r="C72" s="765"/>
      <c r="D72" s="765"/>
      <c r="E72" s="765"/>
      <c r="F72" s="765"/>
      <c r="G72" s="765"/>
      <c r="H72" s="765"/>
      <c r="I72" s="765"/>
      <c r="J72" s="765"/>
      <c r="K72" s="765"/>
      <c r="L72" s="765"/>
      <c r="M72" s="765"/>
      <c r="N72" s="765"/>
      <c r="O72" s="765"/>
      <c r="P72" s="765"/>
      <c r="Q72" s="766"/>
    </row>
    <row r="73" spans="1:17" s="239" customFormat="1" ht="13.5" customHeight="1" x14ac:dyDescent="0.25">
      <c r="A73" s="767" t="s">
        <v>354</v>
      </c>
      <c r="B73" s="768"/>
      <c r="C73" s="768"/>
      <c r="D73" s="768"/>
      <c r="E73" s="768"/>
      <c r="F73" s="768"/>
      <c r="G73" s="768"/>
      <c r="H73" s="768"/>
      <c r="I73" s="768"/>
      <c r="J73" s="768"/>
      <c r="K73" s="768"/>
      <c r="L73" s="768"/>
      <c r="M73" s="768"/>
      <c r="N73" s="768"/>
      <c r="O73" s="768"/>
      <c r="P73" s="768"/>
      <c r="Q73" s="769"/>
    </row>
    <row r="74" spans="1:17" s="235" customFormat="1" ht="28.5" customHeight="1" x14ac:dyDescent="0.25">
      <c r="A74" s="753" t="s">
        <v>276</v>
      </c>
      <c r="B74" s="754"/>
      <c r="C74" s="754"/>
      <c r="D74" s="754"/>
      <c r="E74" s="754"/>
      <c r="F74" s="755" t="s">
        <v>355</v>
      </c>
      <c r="G74" s="755"/>
      <c r="H74" s="755"/>
      <c r="I74" s="755"/>
      <c r="J74" s="755"/>
      <c r="K74" s="755"/>
      <c r="L74" s="755"/>
      <c r="M74" s="755"/>
      <c r="N74" s="755"/>
      <c r="O74" s="755"/>
      <c r="P74" s="755"/>
      <c r="Q74" s="756"/>
    </row>
    <row r="75" spans="1:17" s="239" customFormat="1" ht="43.5" customHeight="1" x14ac:dyDescent="0.25">
      <c r="A75" s="790" t="s">
        <v>402</v>
      </c>
      <c r="B75" s="647"/>
      <c r="C75" s="647"/>
      <c r="D75" s="647"/>
      <c r="E75" s="647"/>
      <c r="F75" s="647"/>
      <c r="G75" s="647"/>
      <c r="H75" s="647"/>
      <c r="I75" s="647"/>
      <c r="J75" s="647"/>
      <c r="K75" s="647"/>
      <c r="L75" s="647"/>
      <c r="M75" s="647"/>
      <c r="N75" s="647"/>
      <c r="O75" s="647"/>
      <c r="P75" s="647"/>
      <c r="Q75" s="648"/>
    </row>
    <row r="76" spans="1:17" s="239" customFormat="1" ht="5.0999999999999996" customHeight="1" x14ac:dyDescent="0.25">
      <c r="A76" s="678"/>
      <c r="B76" s="678"/>
      <c r="C76" s="678"/>
      <c r="D76" s="678"/>
      <c r="E76" s="678"/>
      <c r="F76" s="678"/>
      <c r="G76" s="678"/>
      <c r="H76" s="678"/>
      <c r="I76" s="678"/>
      <c r="J76" s="678"/>
      <c r="K76" s="678"/>
      <c r="L76" s="678"/>
      <c r="M76" s="678"/>
      <c r="N76" s="678"/>
      <c r="O76" s="678"/>
      <c r="P76" s="678"/>
      <c r="Q76" s="678"/>
    </row>
    <row r="77" spans="1:17" s="239" customFormat="1" ht="13.5" customHeight="1" x14ac:dyDescent="0.25">
      <c r="A77" s="767" t="s">
        <v>356</v>
      </c>
      <c r="B77" s="768"/>
      <c r="C77" s="768"/>
      <c r="D77" s="768"/>
      <c r="E77" s="768"/>
      <c r="F77" s="768"/>
      <c r="G77" s="768"/>
      <c r="H77" s="768"/>
      <c r="I77" s="768"/>
      <c r="J77" s="768"/>
      <c r="K77" s="768"/>
      <c r="L77" s="768"/>
      <c r="M77" s="768"/>
      <c r="N77" s="768"/>
      <c r="O77" s="768"/>
      <c r="P77" s="768"/>
      <c r="Q77" s="769"/>
    </row>
    <row r="78" spans="1:17" s="235" customFormat="1" ht="27.75" customHeight="1" x14ac:dyDescent="0.25">
      <c r="A78" s="753" t="s">
        <v>277</v>
      </c>
      <c r="B78" s="754"/>
      <c r="C78" s="754"/>
      <c r="D78" s="754"/>
      <c r="E78" s="754"/>
      <c r="F78" s="755" t="s">
        <v>279</v>
      </c>
      <c r="G78" s="755"/>
      <c r="H78" s="755"/>
      <c r="I78" s="755"/>
      <c r="J78" s="755"/>
      <c r="K78" s="755"/>
      <c r="L78" s="755"/>
      <c r="M78" s="755"/>
      <c r="N78" s="755"/>
      <c r="O78" s="755"/>
      <c r="P78" s="755"/>
      <c r="Q78" s="756"/>
    </row>
    <row r="79" spans="1:17" s="239" customFormat="1" ht="43.5" customHeight="1" x14ac:dyDescent="0.25">
      <c r="A79" s="790" t="s">
        <v>404</v>
      </c>
      <c r="B79" s="647"/>
      <c r="C79" s="647"/>
      <c r="D79" s="647"/>
      <c r="E79" s="647"/>
      <c r="F79" s="647"/>
      <c r="G79" s="647"/>
      <c r="H79" s="647"/>
      <c r="I79" s="647"/>
      <c r="J79" s="647"/>
      <c r="K79" s="647"/>
      <c r="L79" s="647"/>
      <c r="M79" s="647"/>
      <c r="N79" s="647"/>
      <c r="O79" s="647"/>
      <c r="P79" s="647"/>
      <c r="Q79" s="648"/>
    </row>
    <row r="80" spans="1:17" s="239" customFormat="1" ht="5.0999999999999996" customHeight="1" x14ac:dyDescent="0.25">
      <c r="A80" s="678"/>
      <c r="B80" s="678"/>
      <c r="C80" s="678"/>
      <c r="D80" s="678"/>
      <c r="E80" s="678"/>
      <c r="F80" s="678"/>
      <c r="G80" s="678"/>
      <c r="H80" s="678"/>
      <c r="I80" s="678"/>
      <c r="J80" s="678"/>
      <c r="K80" s="678"/>
      <c r="L80" s="678"/>
      <c r="M80" s="678"/>
      <c r="N80" s="678"/>
      <c r="O80" s="678"/>
      <c r="P80" s="678"/>
      <c r="Q80" s="678"/>
    </row>
    <row r="81" spans="1:28" s="239" customFormat="1" ht="13.5" customHeight="1" x14ac:dyDescent="0.25">
      <c r="A81" s="767" t="s">
        <v>282</v>
      </c>
      <c r="B81" s="768"/>
      <c r="C81" s="768"/>
      <c r="D81" s="768"/>
      <c r="E81" s="768"/>
      <c r="F81" s="768"/>
      <c r="G81" s="768"/>
      <c r="H81" s="768"/>
      <c r="I81" s="768"/>
      <c r="J81" s="768"/>
      <c r="K81" s="768"/>
      <c r="L81" s="768"/>
      <c r="M81" s="768"/>
      <c r="N81" s="768"/>
      <c r="O81" s="768"/>
      <c r="P81" s="768"/>
      <c r="Q81" s="769"/>
    </row>
    <row r="82" spans="1:28" s="235" customFormat="1" ht="27.75" customHeight="1" x14ac:dyDescent="0.25">
      <c r="A82" s="753" t="s">
        <v>281</v>
      </c>
      <c r="B82" s="754"/>
      <c r="C82" s="754"/>
      <c r="D82" s="754"/>
      <c r="E82" s="754"/>
      <c r="F82" s="755" t="s">
        <v>280</v>
      </c>
      <c r="G82" s="755"/>
      <c r="H82" s="755"/>
      <c r="I82" s="755"/>
      <c r="J82" s="755"/>
      <c r="K82" s="755"/>
      <c r="L82" s="755"/>
      <c r="M82" s="755"/>
      <c r="N82" s="755"/>
      <c r="O82" s="755"/>
      <c r="P82" s="755"/>
      <c r="Q82" s="756"/>
    </row>
    <row r="83" spans="1:28" s="239" customFormat="1" ht="42.75" customHeight="1" x14ac:dyDescent="0.25">
      <c r="A83" s="790" t="s">
        <v>403</v>
      </c>
      <c r="B83" s="647"/>
      <c r="C83" s="647"/>
      <c r="D83" s="647"/>
      <c r="E83" s="647"/>
      <c r="F83" s="647"/>
      <c r="G83" s="647"/>
      <c r="H83" s="647"/>
      <c r="I83" s="647"/>
      <c r="J83" s="647"/>
      <c r="K83" s="647"/>
      <c r="L83" s="647"/>
      <c r="M83" s="647"/>
      <c r="N83" s="647"/>
      <c r="O83" s="647"/>
      <c r="P83" s="647"/>
      <c r="Q83" s="648"/>
    </row>
    <row r="84" spans="1:28" s="239" customFormat="1" ht="5.0999999999999996" customHeight="1" x14ac:dyDescent="0.25">
      <c r="A84" s="678"/>
      <c r="B84" s="678"/>
      <c r="C84" s="678"/>
      <c r="D84" s="678"/>
      <c r="E84" s="678"/>
      <c r="F84" s="678"/>
      <c r="G84" s="678"/>
      <c r="H84" s="678"/>
      <c r="I84" s="678"/>
      <c r="J84" s="678"/>
      <c r="K84" s="678"/>
      <c r="L84" s="678"/>
      <c r="M84" s="678"/>
      <c r="N84" s="678"/>
      <c r="O84" s="678"/>
      <c r="P84" s="678"/>
      <c r="Q84" s="678"/>
    </row>
    <row r="85" spans="1:28" s="239" customFormat="1" ht="13.5" customHeight="1" x14ac:dyDescent="0.25">
      <c r="A85" s="767" t="s">
        <v>357</v>
      </c>
      <c r="B85" s="768"/>
      <c r="C85" s="768"/>
      <c r="D85" s="768"/>
      <c r="E85" s="768"/>
      <c r="F85" s="768"/>
      <c r="G85" s="768"/>
      <c r="H85" s="768"/>
      <c r="I85" s="768"/>
      <c r="J85" s="768"/>
      <c r="K85" s="768"/>
      <c r="L85" s="768"/>
      <c r="M85" s="768"/>
      <c r="N85" s="768"/>
      <c r="O85" s="768"/>
      <c r="P85" s="768"/>
      <c r="Q85" s="769"/>
    </row>
    <row r="86" spans="1:28" s="235" customFormat="1" ht="27.75" customHeight="1" x14ac:dyDescent="0.25">
      <c r="A86" s="753" t="s">
        <v>278</v>
      </c>
      <c r="B86" s="754"/>
      <c r="C86" s="754"/>
      <c r="D86" s="754"/>
      <c r="E86" s="754"/>
      <c r="F86" s="791" t="s">
        <v>439</v>
      </c>
      <c r="G86" s="791"/>
      <c r="H86" s="791"/>
      <c r="I86" s="791"/>
      <c r="J86" s="791"/>
      <c r="K86" s="791"/>
      <c r="L86" s="791"/>
      <c r="M86" s="791"/>
      <c r="N86" s="791"/>
      <c r="O86" s="791"/>
      <c r="P86" s="791"/>
      <c r="Q86" s="792"/>
    </row>
    <row r="87" spans="1:28" s="239" customFormat="1" ht="41.25" customHeight="1" x14ac:dyDescent="0.25">
      <c r="A87" s="790" t="s">
        <v>438</v>
      </c>
      <c r="B87" s="647"/>
      <c r="C87" s="647"/>
      <c r="D87" s="647"/>
      <c r="E87" s="647"/>
      <c r="F87" s="647"/>
      <c r="G87" s="647"/>
      <c r="H87" s="647"/>
      <c r="I87" s="647"/>
      <c r="J87" s="647"/>
      <c r="K87" s="647"/>
      <c r="L87" s="647"/>
      <c r="M87" s="647"/>
      <c r="N87" s="647"/>
      <c r="O87" s="647"/>
      <c r="P87" s="647"/>
      <c r="Q87" s="648"/>
    </row>
    <row r="88" spans="1:28" s="239" customFormat="1" ht="5.0999999999999996" customHeight="1" x14ac:dyDescent="0.25">
      <c r="A88" s="678"/>
      <c r="B88" s="678"/>
      <c r="C88" s="678"/>
      <c r="D88" s="678"/>
      <c r="E88" s="678"/>
      <c r="F88" s="678"/>
      <c r="G88" s="678"/>
      <c r="H88" s="678"/>
      <c r="I88" s="678"/>
      <c r="J88" s="678"/>
      <c r="K88" s="678"/>
      <c r="L88" s="678"/>
      <c r="M88" s="678"/>
      <c r="N88" s="678"/>
      <c r="O88" s="678"/>
      <c r="P88" s="678"/>
      <c r="Q88" s="678"/>
    </row>
    <row r="89" spans="1:28" s="239" customFormat="1" ht="13.5" customHeight="1" x14ac:dyDescent="0.25">
      <c r="A89" s="767" t="s">
        <v>358</v>
      </c>
      <c r="B89" s="768"/>
      <c r="C89" s="768"/>
      <c r="D89" s="768"/>
      <c r="E89" s="768"/>
      <c r="F89" s="768"/>
      <c r="G89" s="768"/>
      <c r="H89" s="768"/>
      <c r="I89" s="768"/>
      <c r="J89" s="768"/>
      <c r="K89" s="768"/>
      <c r="L89" s="768"/>
      <c r="M89" s="768"/>
      <c r="N89" s="768"/>
      <c r="O89" s="768"/>
      <c r="P89" s="768"/>
      <c r="Q89" s="769"/>
      <c r="R89" s="298"/>
      <c r="S89" s="298"/>
      <c r="T89" s="298"/>
      <c r="U89" s="298"/>
      <c r="V89" s="298"/>
      <c r="W89" s="298"/>
      <c r="X89" s="298"/>
      <c r="Y89" s="298"/>
      <c r="Z89" s="298"/>
      <c r="AA89" s="298"/>
      <c r="AB89" s="298"/>
    </row>
    <row r="90" spans="1:28" s="277" customFormat="1" ht="76.5" customHeight="1" x14ac:dyDescent="0.25">
      <c r="A90" s="279" t="s">
        <v>305</v>
      </c>
      <c r="B90" s="788" t="s">
        <v>359</v>
      </c>
      <c r="C90" s="788"/>
      <c r="D90" s="788"/>
      <c r="E90" s="306">
        <f>'ES Metodologia'!B24</f>
        <v>8.3333333333333328E-4</v>
      </c>
      <c r="F90" s="742" t="s">
        <v>414</v>
      </c>
      <c r="G90" s="743"/>
      <c r="H90" s="743"/>
      <c r="I90" s="743"/>
      <c r="J90" s="743"/>
      <c r="K90" s="743"/>
      <c r="L90" s="743"/>
      <c r="M90" s="743"/>
      <c r="N90" s="743"/>
      <c r="O90" s="743"/>
      <c r="P90" s="743"/>
      <c r="Q90" s="744"/>
      <c r="R90" s="298"/>
      <c r="S90" s="298"/>
      <c r="T90" s="298"/>
      <c r="U90" s="298"/>
      <c r="V90" s="298"/>
      <c r="W90" s="298"/>
      <c r="X90" s="298"/>
      <c r="Y90" s="298"/>
      <c r="Z90" s="298"/>
      <c r="AA90" s="298"/>
      <c r="AB90" s="298"/>
    </row>
    <row r="91" spans="1:28" s="277" customFormat="1" ht="51.75" customHeight="1" x14ac:dyDescent="0.25">
      <c r="A91" s="279" t="s">
        <v>307</v>
      </c>
      <c r="B91" s="788" t="s">
        <v>360</v>
      </c>
      <c r="C91" s="788"/>
      <c r="D91" s="788"/>
      <c r="E91" s="313">
        <f>'ES Metodologia'!B25</f>
        <v>6.666666666666667E-5</v>
      </c>
      <c r="F91" s="742" t="s">
        <v>361</v>
      </c>
      <c r="G91" s="743"/>
      <c r="H91" s="743"/>
      <c r="I91" s="743"/>
      <c r="J91" s="743"/>
      <c r="K91" s="743"/>
      <c r="L91" s="743"/>
      <c r="M91" s="743"/>
      <c r="N91" s="743"/>
      <c r="O91" s="743"/>
      <c r="P91" s="743"/>
      <c r="Q91" s="744"/>
      <c r="R91" s="298"/>
      <c r="S91" s="298"/>
      <c r="T91" s="298"/>
      <c r="U91" s="298"/>
      <c r="V91" s="298"/>
      <c r="W91" s="298"/>
      <c r="X91" s="298"/>
      <c r="Y91" s="298"/>
      <c r="Z91" s="298"/>
      <c r="AA91" s="298"/>
      <c r="AB91" s="298"/>
    </row>
    <row r="92" spans="1:28" s="277" customFormat="1" ht="169.5" customHeight="1" x14ac:dyDescent="0.25">
      <c r="A92" s="278" t="s">
        <v>309</v>
      </c>
      <c r="B92" s="788" t="s">
        <v>362</v>
      </c>
      <c r="C92" s="788"/>
      <c r="D92" s="788"/>
      <c r="E92" s="306">
        <f>'ES Metodologia'!B26</f>
        <v>1.6000000000000003E-3</v>
      </c>
      <c r="F92" s="742" t="s">
        <v>411</v>
      </c>
      <c r="G92" s="743"/>
      <c r="H92" s="743"/>
      <c r="I92" s="743"/>
      <c r="J92" s="743"/>
      <c r="K92" s="743"/>
      <c r="L92" s="743"/>
      <c r="M92" s="743"/>
      <c r="N92" s="743"/>
      <c r="O92" s="743"/>
      <c r="P92" s="743"/>
      <c r="Q92" s="744"/>
      <c r="R92" s="298"/>
      <c r="S92" s="298"/>
      <c r="T92" s="298"/>
      <c r="U92" s="298"/>
      <c r="V92" s="298"/>
      <c r="W92" s="298"/>
      <c r="X92" s="298"/>
      <c r="Y92" s="298"/>
      <c r="Z92" s="298"/>
      <c r="AA92" s="298"/>
      <c r="AB92" s="298"/>
    </row>
    <row r="93" spans="1:28" s="277" customFormat="1" ht="175.5" customHeight="1" x14ac:dyDescent="0.25">
      <c r="A93" s="279" t="s">
        <v>319</v>
      </c>
      <c r="B93" s="787" t="s">
        <v>363</v>
      </c>
      <c r="C93" s="787"/>
      <c r="D93" s="787"/>
      <c r="E93" s="306">
        <f>'ES Metodologia'!B27</f>
        <v>3.8888888888888892E-4</v>
      </c>
      <c r="F93" s="742" t="s">
        <v>455</v>
      </c>
      <c r="G93" s="743"/>
      <c r="H93" s="743"/>
      <c r="I93" s="743"/>
      <c r="J93" s="743"/>
      <c r="K93" s="743"/>
      <c r="L93" s="743"/>
      <c r="M93" s="743"/>
      <c r="N93" s="743"/>
      <c r="O93" s="743"/>
      <c r="P93" s="743"/>
      <c r="Q93" s="744"/>
      <c r="R93" s="298"/>
      <c r="S93" s="298"/>
      <c r="T93" s="298"/>
      <c r="U93" s="298"/>
      <c r="V93" s="298"/>
      <c r="W93" s="298"/>
      <c r="X93" s="298"/>
      <c r="Y93" s="298"/>
      <c r="Z93" s="298"/>
      <c r="AA93" s="298"/>
      <c r="AB93" s="298"/>
    </row>
    <row r="94" spans="1:28" s="277" customFormat="1" ht="53.25" customHeight="1" x14ac:dyDescent="0.25">
      <c r="A94" s="279" t="s">
        <v>321</v>
      </c>
      <c r="B94" s="787" t="s">
        <v>364</v>
      </c>
      <c r="C94" s="787"/>
      <c r="D94" s="787"/>
      <c r="E94" s="306">
        <f>'ES Metodologia'!B28</f>
        <v>1.372777777777778E-4</v>
      </c>
      <c r="F94" s="742" t="s">
        <v>365</v>
      </c>
      <c r="G94" s="743"/>
      <c r="H94" s="743"/>
      <c r="I94" s="743"/>
      <c r="J94" s="743"/>
      <c r="K94" s="743"/>
      <c r="L94" s="743"/>
      <c r="M94" s="743"/>
      <c r="N94" s="743"/>
      <c r="O94" s="743"/>
      <c r="P94" s="743"/>
      <c r="Q94" s="744"/>
      <c r="R94" s="298"/>
      <c r="S94" s="298"/>
      <c r="T94" s="298"/>
      <c r="U94" s="298"/>
      <c r="V94" s="298"/>
      <c r="W94" s="298"/>
      <c r="X94" s="298"/>
      <c r="Y94" s="298"/>
      <c r="Z94" s="298"/>
      <c r="AA94" s="298"/>
      <c r="AB94" s="298"/>
    </row>
    <row r="95" spans="1:28" s="277" customFormat="1" ht="251.25" customHeight="1" x14ac:dyDescent="0.25">
      <c r="A95" s="296" t="s">
        <v>323</v>
      </c>
      <c r="B95" s="784" t="s">
        <v>415</v>
      </c>
      <c r="C95" s="785"/>
      <c r="D95" s="786"/>
      <c r="E95" s="307">
        <f>'ES Metodologia'!B29</f>
        <v>3.2750666666666657E-2</v>
      </c>
      <c r="F95" s="742" t="s">
        <v>500</v>
      </c>
      <c r="G95" s="743"/>
      <c r="H95" s="743"/>
      <c r="I95" s="743"/>
      <c r="J95" s="743"/>
      <c r="K95" s="743"/>
      <c r="L95" s="743"/>
      <c r="M95" s="743"/>
      <c r="N95" s="743"/>
      <c r="O95" s="743"/>
      <c r="P95" s="743"/>
      <c r="Q95" s="744"/>
      <c r="R95" s="298">
        <f>(0.08*0.4)*0.847*(1+5/56+5/56+(1/3*5/56))*100</f>
        <v>3.2750666666666657</v>
      </c>
      <c r="S95" s="298"/>
      <c r="T95" s="298"/>
      <c r="U95" s="298"/>
      <c r="V95" s="298"/>
      <c r="W95" s="298"/>
      <c r="X95" s="298"/>
      <c r="Y95" s="298"/>
      <c r="Z95" s="298"/>
      <c r="AA95" s="298"/>
      <c r="AB95" s="298"/>
    </row>
    <row r="96" spans="1:28" s="277" customFormat="1" ht="32.1" customHeight="1" x14ac:dyDescent="0.25">
      <c r="A96" s="781" t="s">
        <v>1</v>
      </c>
      <c r="B96" s="782"/>
      <c r="C96" s="782"/>
      <c r="D96" s="783"/>
      <c r="E96" s="308">
        <f>SUM(E90:E95)</f>
        <v>3.5776833333333327E-2</v>
      </c>
      <c r="F96" s="686"/>
      <c r="G96" s="687"/>
      <c r="H96" s="687"/>
      <c r="I96" s="687"/>
      <c r="J96" s="687"/>
      <c r="K96" s="687"/>
      <c r="L96" s="687"/>
      <c r="M96" s="687"/>
      <c r="N96" s="687"/>
      <c r="O96" s="687"/>
      <c r="P96" s="687"/>
      <c r="Q96" s="688"/>
      <c r="R96" s="298"/>
      <c r="S96" s="298"/>
      <c r="T96" s="298"/>
      <c r="U96" s="298"/>
      <c r="V96" s="298"/>
      <c r="W96" s="298"/>
      <c r="X96" s="298"/>
      <c r="Y96" s="298"/>
      <c r="Z96" s="298"/>
      <c r="AA96" s="298"/>
      <c r="AB96" s="298"/>
    </row>
    <row r="97" spans="1:17" ht="408.95" customHeight="1" x14ac:dyDescent="0.25">
      <c r="A97" s="689" t="s">
        <v>457</v>
      </c>
      <c r="B97" s="689"/>
      <c r="C97" s="689"/>
      <c r="D97" s="689"/>
      <c r="E97" s="689"/>
      <c r="F97" s="689"/>
      <c r="G97" s="689"/>
      <c r="H97" s="689"/>
      <c r="I97" s="689"/>
      <c r="J97" s="689"/>
      <c r="K97" s="689"/>
      <c r="L97" s="689"/>
      <c r="M97" s="689"/>
      <c r="N97" s="689"/>
      <c r="O97" s="689"/>
      <c r="P97" s="689"/>
      <c r="Q97" s="689"/>
    </row>
    <row r="98" spans="1:17" ht="186" customHeight="1" x14ac:dyDescent="0.25">
      <c r="A98" s="689"/>
      <c r="B98" s="689"/>
      <c r="C98" s="689"/>
      <c r="D98" s="689"/>
      <c r="E98" s="689"/>
      <c r="F98" s="689"/>
      <c r="G98" s="689"/>
      <c r="H98" s="689"/>
      <c r="I98" s="689"/>
      <c r="J98" s="689"/>
      <c r="K98" s="689"/>
      <c r="L98" s="689"/>
      <c r="M98" s="689"/>
      <c r="N98" s="689"/>
      <c r="O98" s="689"/>
      <c r="P98" s="689"/>
      <c r="Q98" s="689"/>
    </row>
    <row r="99" spans="1:17" ht="15" customHeight="1" x14ac:dyDescent="0.25">
      <c r="A99" s="690" t="s">
        <v>366</v>
      </c>
      <c r="B99" s="690"/>
      <c r="C99" s="690"/>
      <c r="D99" s="690"/>
      <c r="E99" s="690"/>
      <c r="F99" s="690"/>
      <c r="G99" s="690"/>
      <c r="H99" s="690"/>
      <c r="I99" s="690"/>
      <c r="J99" s="690"/>
      <c r="K99" s="690"/>
      <c r="L99" s="690"/>
      <c r="M99" s="690"/>
      <c r="N99" s="690"/>
      <c r="O99" s="690"/>
      <c r="P99" s="690"/>
      <c r="Q99" s="690"/>
    </row>
    <row r="100" spans="1:17" ht="15" customHeight="1" x14ac:dyDescent="0.25">
      <c r="A100" s="691" t="s">
        <v>367</v>
      </c>
      <c r="B100" s="691"/>
      <c r="C100" s="691"/>
      <c r="D100" s="691"/>
      <c r="E100" s="691"/>
      <c r="F100" s="691"/>
      <c r="G100" s="691"/>
      <c r="H100" s="691"/>
      <c r="I100" s="691"/>
      <c r="J100" s="691"/>
      <c r="K100" s="691"/>
      <c r="L100" s="691"/>
      <c r="M100" s="691"/>
      <c r="N100" s="691"/>
      <c r="O100" s="691"/>
      <c r="P100" s="691"/>
      <c r="Q100" s="691"/>
    </row>
    <row r="101" spans="1:17" s="295" customFormat="1" ht="117" customHeight="1" x14ac:dyDescent="0.25">
      <c r="A101" s="279" t="s">
        <v>305</v>
      </c>
      <c r="B101" s="787" t="s">
        <v>368</v>
      </c>
      <c r="C101" s="787"/>
      <c r="D101" s="787"/>
      <c r="E101" s="306">
        <f>'ES Metodologia'!B34</f>
        <v>8.3299999999999999E-2</v>
      </c>
      <c r="F101" s="692" t="s">
        <v>416</v>
      </c>
      <c r="G101" s="692"/>
      <c r="H101" s="692"/>
      <c r="I101" s="692"/>
      <c r="J101" s="692"/>
      <c r="K101" s="692"/>
      <c r="L101" s="692"/>
      <c r="M101" s="692"/>
      <c r="N101" s="692"/>
      <c r="O101" s="692"/>
      <c r="P101" s="692"/>
      <c r="Q101" s="692"/>
    </row>
    <row r="102" spans="1:17" s="295" customFormat="1" ht="84.75" customHeight="1" x14ac:dyDescent="0.25">
      <c r="A102" s="279" t="s">
        <v>307</v>
      </c>
      <c r="B102" s="789" t="s">
        <v>369</v>
      </c>
      <c r="C102" s="789"/>
      <c r="D102" s="789"/>
      <c r="E102" s="306">
        <f>'ES Metodologia'!B35</f>
        <v>2.0000000000000001E-4</v>
      </c>
      <c r="F102" s="693" t="s">
        <v>453</v>
      </c>
      <c r="G102" s="693"/>
      <c r="H102" s="693"/>
      <c r="I102" s="693"/>
      <c r="J102" s="693"/>
      <c r="K102" s="693"/>
      <c r="L102" s="693"/>
      <c r="M102" s="693"/>
      <c r="N102" s="693"/>
      <c r="O102" s="693"/>
      <c r="P102" s="693"/>
      <c r="Q102" s="693"/>
    </row>
    <row r="103" spans="1:17" ht="93" customHeight="1" x14ac:dyDescent="0.25">
      <c r="A103" s="231" t="s">
        <v>309</v>
      </c>
      <c r="B103" s="771" t="s">
        <v>370</v>
      </c>
      <c r="C103" s="771"/>
      <c r="D103" s="771"/>
      <c r="E103" s="303">
        <f>'ES Metodologia'!B36</f>
        <v>2.0000000000000001E-4</v>
      </c>
      <c r="F103" s="692" t="s">
        <v>417</v>
      </c>
      <c r="G103" s="692"/>
      <c r="H103" s="692"/>
      <c r="I103" s="692"/>
      <c r="J103" s="692"/>
      <c r="K103" s="692"/>
      <c r="L103" s="692"/>
      <c r="M103" s="692"/>
      <c r="N103" s="692"/>
      <c r="O103" s="692"/>
      <c r="P103" s="692"/>
      <c r="Q103" s="692"/>
    </row>
    <row r="104" spans="1:17" ht="79.5" customHeight="1" x14ac:dyDescent="0.25">
      <c r="A104" s="231" t="s">
        <v>319</v>
      </c>
      <c r="B104" s="694" t="s">
        <v>371</v>
      </c>
      <c r="C104" s="694"/>
      <c r="D104" s="694"/>
      <c r="E104" s="303">
        <f>'ES Metodologia'!B37</f>
        <v>4.1666666666666664E-4</v>
      </c>
      <c r="F104" s="692" t="s">
        <v>454</v>
      </c>
      <c r="G104" s="692"/>
      <c r="H104" s="692"/>
      <c r="I104" s="692"/>
      <c r="J104" s="692"/>
      <c r="K104" s="692"/>
      <c r="L104" s="692"/>
      <c r="M104" s="692"/>
      <c r="N104" s="692"/>
      <c r="O104" s="692"/>
      <c r="P104" s="692"/>
      <c r="Q104" s="692"/>
    </row>
    <row r="105" spans="1:17" ht="102.75" customHeight="1" x14ac:dyDescent="0.25">
      <c r="A105" s="231" t="s">
        <v>321</v>
      </c>
      <c r="B105" s="694" t="s">
        <v>372</v>
      </c>
      <c r="C105" s="694"/>
      <c r="D105" s="694"/>
      <c r="E105" s="303">
        <f>'ES Metodologia'!B38</f>
        <v>2.0063888888888887E-4</v>
      </c>
      <c r="F105" s="692" t="s">
        <v>420</v>
      </c>
      <c r="G105" s="692"/>
      <c r="H105" s="692"/>
      <c r="I105" s="692"/>
      <c r="J105" s="692"/>
      <c r="K105" s="692"/>
      <c r="L105" s="692"/>
      <c r="M105" s="692"/>
      <c r="N105" s="692"/>
      <c r="O105" s="692"/>
      <c r="P105" s="692"/>
      <c r="Q105" s="692"/>
    </row>
    <row r="106" spans="1:17" ht="15" customHeight="1" x14ac:dyDescent="0.25">
      <c r="A106" s="695" t="s">
        <v>373</v>
      </c>
      <c r="B106" s="695"/>
      <c r="C106" s="695"/>
      <c r="D106" s="695"/>
      <c r="E106" s="304">
        <f>SUM(E101:E105)</f>
        <v>8.4317305555555555E-2</v>
      </c>
      <c r="F106" s="691" t="s">
        <v>374</v>
      </c>
      <c r="G106" s="691"/>
      <c r="H106" s="691"/>
      <c r="I106" s="691"/>
      <c r="J106" s="691"/>
      <c r="K106" s="691"/>
      <c r="L106" s="691"/>
      <c r="M106" s="691"/>
      <c r="N106" s="691"/>
      <c r="O106" s="691"/>
      <c r="P106" s="691"/>
      <c r="Q106" s="691"/>
    </row>
    <row r="107" spans="1:17" ht="5.0999999999999996" customHeight="1" x14ac:dyDescent="0.25">
      <c r="A107" s="678"/>
      <c r="B107" s="678"/>
      <c r="C107" s="678"/>
      <c r="D107" s="678"/>
      <c r="E107" s="678"/>
      <c r="F107" s="678"/>
      <c r="G107" s="678"/>
      <c r="H107" s="678"/>
      <c r="I107" s="678"/>
      <c r="J107" s="678"/>
      <c r="K107" s="678"/>
      <c r="L107" s="678"/>
      <c r="M107" s="678"/>
      <c r="N107" s="678"/>
      <c r="O107" s="678"/>
      <c r="P107" s="678"/>
    </row>
    <row r="108" spans="1:17" ht="15" customHeight="1" x14ac:dyDescent="0.25">
      <c r="A108" s="668" t="s">
        <v>375</v>
      </c>
      <c r="B108" s="668"/>
      <c r="C108" s="668"/>
      <c r="D108" s="668"/>
      <c r="E108" s="668"/>
      <c r="F108" s="668"/>
      <c r="G108" s="668"/>
      <c r="H108" s="668"/>
      <c r="I108" s="668"/>
      <c r="J108" s="668"/>
      <c r="K108" s="668"/>
      <c r="L108" s="668"/>
      <c r="M108" s="668"/>
      <c r="N108" s="668"/>
      <c r="O108" s="668"/>
      <c r="P108" s="668"/>
      <c r="Q108" s="668"/>
    </row>
    <row r="109" spans="1:17" ht="408.95" customHeight="1" x14ac:dyDescent="0.25">
      <c r="A109" s="740" t="s">
        <v>452</v>
      </c>
      <c r="B109" s="741"/>
      <c r="C109" s="741"/>
      <c r="D109" s="741"/>
      <c r="E109" s="741"/>
      <c r="F109" s="741"/>
      <c r="G109" s="741"/>
      <c r="H109" s="741"/>
      <c r="I109" s="741"/>
      <c r="J109" s="741"/>
      <c r="K109" s="741"/>
      <c r="L109" s="741"/>
      <c r="M109" s="741"/>
      <c r="N109" s="741"/>
      <c r="O109" s="741"/>
      <c r="P109" s="741"/>
      <c r="Q109" s="741"/>
    </row>
    <row r="110" spans="1:17" ht="264.75" customHeight="1" x14ac:dyDescent="0.25">
      <c r="A110" s="740"/>
      <c r="B110" s="741"/>
      <c r="C110" s="741"/>
      <c r="D110" s="741"/>
      <c r="E110" s="741"/>
      <c r="F110" s="741"/>
      <c r="G110" s="741"/>
      <c r="H110" s="741"/>
      <c r="I110" s="741"/>
      <c r="J110" s="741"/>
      <c r="K110" s="741"/>
      <c r="L110" s="741"/>
      <c r="M110" s="741"/>
      <c r="N110" s="741"/>
      <c r="O110" s="741"/>
      <c r="P110" s="741"/>
      <c r="Q110" s="741"/>
    </row>
    <row r="111" spans="1:17" ht="54" customHeight="1" x14ac:dyDescent="0.25">
      <c r="A111" s="715" t="s">
        <v>444</v>
      </c>
      <c r="B111" s="716"/>
      <c r="C111" s="716"/>
      <c r="D111" s="716"/>
      <c r="E111" s="716"/>
      <c r="F111" s="716"/>
      <c r="G111" s="716"/>
      <c r="H111" s="716"/>
      <c r="I111" s="716"/>
      <c r="J111" s="716"/>
      <c r="K111" s="716"/>
      <c r="L111" s="716"/>
      <c r="M111" s="716"/>
      <c r="N111" s="716"/>
      <c r="O111" s="716"/>
      <c r="P111" s="716"/>
      <c r="Q111" s="716"/>
    </row>
    <row r="112" spans="1:17" ht="37.5" customHeight="1" x14ac:dyDescent="0.25">
      <c r="A112" s="715" t="s">
        <v>445</v>
      </c>
      <c r="B112" s="716"/>
      <c r="C112" s="716"/>
      <c r="D112" s="716"/>
      <c r="E112" s="716"/>
      <c r="F112" s="716"/>
      <c r="G112" s="716"/>
      <c r="H112" s="716"/>
      <c r="I112" s="716"/>
      <c r="J112" s="716"/>
      <c r="K112" s="716"/>
      <c r="L112" s="716"/>
      <c r="M112" s="716"/>
      <c r="N112" s="716"/>
      <c r="O112" s="716"/>
      <c r="P112" s="716"/>
      <c r="Q112" s="716"/>
    </row>
    <row r="113" spans="1:17" ht="37.5" customHeight="1" x14ac:dyDescent="0.25">
      <c r="A113" s="715" t="s">
        <v>446</v>
      </c>
      <c r="B113" s="716"/>
      <c r="C113" s="716"/>
      <c r="D113" s="716"/>
      <c r="E113" s="716"/>
      <c r="F113" s="716"/>
      <c r="G113" s="716"/>
      <c r="H113" s="716"/>
      <c r="I113" s="716"/>
      <c r="J113" s="716"/>
      <c r="K113" s="716"/>
      <c r="L113" s="716"/>
      <c r="M113" s="716"/>
      <c r="N113" s="716"/>
      <c r="O113" s="716"/>
      <c r="P113" s="716"/>
      <c r="Q113" s="716"/>
    </row>
    <row r="114" spans="1:17" ht="66" customHeight="1" x14ac:dyDescent="0.25">
      <c r="A114" s="717" t="s">
        <v>376</v>
      </c>
      <c r="B114" s="718"/>
      <c r="C114" s="718"/>
      <c r="D114" s="718"/>
      <c r="E114" s="718"/>
      <c r="F114" s="718"/>
      <c r="G114" s="718"/>
      <c r="H114" s="718"/>
      <c r="I114" s="718"/>
      <c r="J114" s="718"/>
      <c r="K114" s="718"/>
      <c r="L114" s="718"/>
      <c r="M114" s="718"/>
      <c r="N114" s="718"/>
      <c r="O114" s="718"/>
      <c r="P114" s="718"/>
      <c r="Q114" s="718"/>
    </row>
    <row r="115" spans="1:17" ht="26.25" customHeight="1" x14ac:dyDescent="0.25">
      <c r="A115" s="704" t="s">
        <v>284</v>
      </c>
      <c r="B115" s="705"/>
      <c r="C115" s="705"/>
      <c r="D115" s="705"/>
      <c r="E115" s="705"/>
      <c r="F115" s="705"/>
      <c r="G115" s="705"/>
      <c r="H115" s="705"/>
      <c r="I115" s="705"/>
      <c r="J115" s="705"/>
      <c r="K115" s="705"/>
      <c r="L115" s="705"/>
      <c r="M115" s="705"/>
      <c r="N115" s="705"/>
      <c r="O115" s="705"/>
      <c r="P115" s="705"/>
      <c r="Q115" s="705"/>
    </row>
    <row r="116" spans="1:17" ht="18.75" customHeight="1" x14ac:dyDescent="0.25">
      <c r="A116" s="706" t="s">
        <v>283</v>
      </c>
      <c r="B116" s="706"/>
      <c r="C116" s="706"/>
      <c r="D116" s="706"/>
      <c r="E116" s="706"/>
      <c r="F116" s="706"/>
      <c r="G116" s="706"/>
      <c r="H116" s="706"/>
      <c r="I116" s="706"/>
      <c r="J116" s="706"/>
      <c r="K116" s="706"/>
      <c r="L116" s="706"/>
      <c r="M116" s="706"/>
      <c r="N116" s="706"/>
      <c r="O116" s="706"/>
      <c r="P116" s="706"/>
      <c r="Q116" s="706"/>
    </row>
    <row r="117" spans="1:17" s="243" customFormat="1" ht="18.75" customHeight="1" x14ac:dyDescent="0.25">
      <c r="A117" s="707" t="s">
        <v>237</v>
      </c>
      <c r="B117" s="708"/>
      <c r="C117" s="708"/>
      <c r="D117" s="708"/>
      <c r="E117" s="708"/>
      <c r="F117" s="708"/>
      <c r="G117" s="708"/>
      <c r="H117" s="708"/>
      <c r="I117" s="708"/>
      <c r="J117" s="708"/>
      <c r="K117" s="708"/>
      <c r="L117" s="708"/>
      <c r="M117" s="708"/>
      <c r="N117" s="708"/>
      <c r="O117" s="708"/>
      <c r="P117" s="708"/>
      <c r="Q117" s="708"/>
    </row>
    <row r="118" spans="1:17" s="97" customFormat="1" ht="78.75" customHeight="1" x14ac:dyDescent="0.25">
      <c r="A118" s="244" t="s">
        <v>69</v>
      </c>
      <c r="B118" s="713" t="s">
        <v>116</v>
      </c>
      <c r="C118" s="713"/>
      <c r="D118" s="713"/>
      <c r="E118" s="349" t="s">
        <v>494</v>
      </c>
      <c r="F118" s="244" t="s">
        <v>245</v>
      </c>
      <c r="G118" s="244" t="s">
        <v>246</v>
      </c>
      <c r="H118" s="816" t="s">
        <v>247</v>
      </c>
      <c r="I118" s="816"/>
      <c r="J118" s="713" t="s">
        <v>248</v>
      </c>
      <c r="K118" s="713"/>
      <c r="L118" s="713"/>
      <c r="M118" s="745" t="s">
        <v>249</v>
      </c>
      <c r="N118" s="746"/>
      <c r="O118" s="746"/>
      <c r="P118" s="746"/>
      <c r="Q118" s="747"/>
    </row>
    <row r="119" spans="1:17" s="246" customFormat="1" ht="15" customHeight="1" x14ac:dyDescent="0.25">
      <c r="A119" s="345">
        <v>1</v>
      </c>
      <c r="B119" s="714" t="s">
        <v>238</v>
      </c>
      <c r="C119" s="714"/>
      <c r="D119" s="714"/>
      <c r="E119" s="350" t="s">
        <v>489</v>
      </c>
      <c r="F119" s="309">
        <f>'Uniformes -IV'!D3</f>
        <v>4</v>
      </c>
      <c r="G119" s="245">
        <f>'Uniformes -IV'!E3</f>
        <v>6</v>
      </c>
      <c r="H119" s="751">
        <f>'Uniformes -IV'!F3</f>
        <v>45</v>
      </c>
      <c r="I119" s="751"/>
      <c r="J119" s="751">
        <f t="shared" ref="J119:J126" si="0">H119*F119</f>
        <v>180</v>
      </c>
      <c r="K119" s="751"/>
      <c r="L119" s="751"/>
      <c r="M119" s="748">
        <f t="shared" ref="M119:M126" si="1">J119/12</f>
        <v>15</v>
      </c>
      <c r="N119" s="749"/>
      <c r="O119" s="749"/>
      <c r="P119" s="749"/>
      <c r="Q119" s="750"/>
    </row>
    <row r="120" spans="1:17" s="246" customFormat="1" ht="15" customHeight="1" x14ac:dyDescent="0.25">
      <c r="A120" s="345">
        <v>2</v>
      </c>
      <c r="B120" s="714" t="s">
        <v>239</v>
      </c>
      <c r="C120" s="714"/>
      <c r="D120" s="714"/>
      <c r="E120" s="350" t="s">
        <v>488</v>
      </c>
      <c r="F120" s="309">
        <f>'Uniformes -IV'!D4</f>
        <v>4</v>
      </c>
      <c r="G120" s="245">
        <f>'Uniformes -IV'!E4</f>
        <v>6</v>
      </c>
      <c r="H120" s="751">
        <f>'Uniformes -IV'!F4</f>
        <v>38.5</v>
      </c>
      <c r="I120" s="751"/>
      <c r="J120" s="751">
        <f t="shared" si="0"/>
        <v>154</v>
      </c>
      <c r="K120" s="751"/>
      <c r="L120" s="751"/>
      <c r="M120" s="748">
        <f t="shared" si="1"/>
        <v>12.833333333333334</v>
      </c>
      <c r="N120" s="749"/>
      <c r="O120" s="749"/>
      <c r="P120" s="749"/>
      <c r="Q120" s="750"/>
    </row>
    <row r="121" spans="1:17" s="246" customFormat="1" ht="15" customHeight="1" x14ac:dyDescent="0.25">
      <c r="A121" s="345">
        <v>3</v>
      </c>
      <c r="B121" s="714" t="s">
        <v>240</v>
      </c>
      <c r="C121" s="714"/>
      <c r="D121" s="714"/>
      <c r="E121" s="350" t="s">
        <v>488</v>
      </c>
      <c r="F121" s="309">
        <f>'Uniformes -IV'!D5</f>
        <v>6</v>
      </c>
      <c r="G121" s="245">
        <f>'Uniformes -IV'!E5</f>
        <v>6</v>
      </c>
      <c r="H121" s="751">
        <f>'Uniformes -IV'!F5</f>
        <v>18.5</v>
      </c>
      <c r="I121" s="751"/>
      <c r="J121" s="751">
        <f t="shared" si="0"/>
        <v>111</v>
      </c>
      <c r="K121" s="751"/>
      <c r="L121" s="751"/>
      <c r="M121" s="748">
        <f t="shared" si="1"/>
        <v>9.25</v>
      </c>
      <c r="N121" s="749"/>
      <c r="O121" s="749"/>
      <c r="P121" s="749"/>
      <c r="Q121" s="750"/>
    </row>
    <row r="122" spans="1:17" s="246" customFormat="1" ht="15" customHeight="1" x14ac:dyDescent="0.25">
      <c r="A122" s="345">
        <v>4</v>
      </c>
      <c r="B122" s="714" t="s">
        <v>241</v>
      </c>
      <c r="C122" s="714"/>
      <c r="D122" s="714"/>
      <c r="E122" s="350" t="s">
        <v>488</v>
      </c>
      <c r="F122" s="309">
        <f>'Uniformes -IV'!D6</f>
        <v>1</v>
      </c>
      <c r="G122" s="245">
        <f>'Uniformes -IV'!E6</f>
        <v>12</v>
      </c>
      <c r="H122" s="751">
        <f>'Uniformes -IV'!F6</f>
        <v>40</v>
      </c>
      <c r="I122" s="751"/>
      <c r="J122" s="751">
        <f t="shared" si="0"/>
        <v>40</v>
      </c>
      <c r="K122" s="751"/>
      <c r="L122" s="751"/>
      <c r="M122" s="748">
        <f t="shared" si="1"/>
        <v>3.3333333333333335</v>
      </c>
      <c r="N122" s="749"/>
      <c r="O122" s="749"/>
      <c r="P122" s="749"/>
      <c r="Q122" s="750"/>
    </row>
    <row r="123" spans="1:17" s="246" customFormat="1" ht="15" customHeight="1" x14ac:dyDescent="0.25">
      <c r="A123" s="345">
        <v>5</v>
      </c>
      <c r="B123" s="714" t="s">
        <v>156</v>
      </c>
      <c r="C123" s="714"/>
      <c r="D123" s="714"/>
      <c r="E123" s="350" t="s">
        <v>488</v>
      </c>
      <c r="F123" s="309">
        <f>'Uniformes -IV'!D7</f>
        <v>1</v>
      </c>
      <c r="G123" s="245">
        <f>'Uniformes -IV'!E7</f>
        <v>12</v>
      </c>
      <c r="H123" s="751">
        <f>'Uniformes -IV'!F7</f>
        <v>8</v>
      </c>
      <c r="I123" s="751"/>
      <c r="J123" s="751">
        <f t="shared" si="0"/>
        <v>8</v>
      </c>
      <c r="K123" s="751"/>
      <c r="L123" s="751"/>
      <c r="M123" s="748">
        <f t="shared" si="1"/>
        <v>0.66666666666666663</v>
      </c>
      <c r="N123" s="749"/>
      <c r="O123" s="749"/>
      <c r="P123" s="749"/>
      <c r="Q123" s="750"/>
    </row>
    <row r="124" spans="1:17" s="246" customFormat="1" ht="15" customHeight="1" x14ac:dyDescent="0.25">
      <c r="A124" s="345">
        <v>6</v>
      </c>
      <c r="B124" s="714" t="s">
        <v>242</v>
      </c>
      <c r="C124" s="714"/>
      <c r="D124" s="714"/>
      <c r="E124" s="350" t="s">
        <v>488</v>
      </c>
      <c r="F124" s="309">
        <f>'Uniformes -IV'!D8</f>
        <v>4</v>
      </c>
      <c r="G124" s="245">
        <f>'Uniformes -IV'!E8</f>
        <v>6</v>
      </c>
      <c r="H124" s="751">
        <f>'Uniformes -IV'!F8</f>
        <v>9</v>
      </c>
      <c r="I124" s="751"/>
      <c r="J124" s="751">
        <f t="shared" si="0"/>
        <v>36</v>
      </c>
      <c r="K124" s="751"/>
      <c r="L124" s="751"/>
      <c r="M124" s="748">
        <f t="shared" si="1"/>
        <v>3</v>
      </c>
      <c r="N124" s="749"/>
      <c r="O124" s="749"/>
      <c r="P124" s="749"/>
      <c r="Q124" s="750"/>
    </row>
    <row r="125" spans="1:17" s="246" customFormat="1" ht="15" customHeight="1" x14ac:dyDescent="0.25">
      <c r="A125" s="345">
        <v>7</v>
      </c>
      <c r="B125" s="714" t="s">
        <v>243</v>
      </c>
      <c r="C125" s="714"/>
      <c r="D125" s="714"/>
      <c r="E125" s="350" t="s">
        <v>488</v>
      </c>
      <c r="F125" s="309">
        <f>'Uniformes -IV'!D9</f>
        <v>2</v>
      </c>
      <c r="G125" s="245">
        <f>'Uniformes -IV'!E9</f>
        <v>6</v>
      </c>
      <c r="H125" s="751">
        <f>'Uniformes -IV'!F9</f>
        <v>10</v>
      </c>
      <c r="I125" s="751"/>
      <c r="J125" s="751">
        <f t="shared" si="0"/>
        <v>20</v>
      </c>
      <c r="K125" s="751"/>
      <c r="L125" s="751"/>
      <c r="M125" s="748">
        <f t="shared" si="1"/>
        <v>1.6666666666666667</v>
      </c>
      <c r="N125" s="749"/>
      <c r="O125" s="749"/>
      <c r="P125" s="749"/>
      <c r="Q125" s="750"/>
    </row>
    <row r="126" spans="1:17" s="246" customFormat="1" ht="15" customHeight="1" x14ac:dyDescent="0.25">
      <c r="A126" s="345">
        <v>8</v>
      </c>
      <c r="B126" s="714" t="s">
        <v>244</v>
      </c>
      <c r="C126" s="714"/>
      <c r="D126" s="714"/>
      <c r="E126" s="350" t="s">
        <v>489</v>
      </c>
      <c r="F126" s="309">
        <f>'Uniformes -IV'!D10</f>
        <v>6</v>
      </c>
      <c r="G126" s="245">
        <f>'Uniformes -IV'!E10</f>
        <v>6</v>
      </c>
      <c r="H126" s="751">
        <f>'Uniformes -IV'!F10</f>
        <v>1.97</v>
      </c>
      <c r="I126" s="751"/>
      <c r="J126" s="751">
        <f t="shared" si="0"/>
        <v>11.82</v>
      </c>
      <c r="K126" s="751"/>
      <c r="L126" s="751"/>
      <c r="M126" s="748">
        <f t="shared" si="1"/>
        <v>0.98499999999999999</v>
      </c>
      <c r="N126" s="749"/>
      <c r="O126" s="749"/>
      <c r="P126" s="749"/>
      <c r="Q126" s="750"/>
    </row>
    <row r="127" spans="1:17" s="243" customFormat="1" ht="15.75" x14ac:dyDescent="0.25">
      <c r="A127" s="737" t="s">
        <v>110</v>
      </c>
      <c r="B127" s="738"/>
      <c r="C127" s="738"/>
      <c r="D127" s="738"/>
      <c r="E127" s="738"/>
      <c r="F127" s="738"/>
      <c r="G127" s="739"/>
      <c r="H127" s="737"/>
      <c r="I127" s="739"/>
      <c r="J127" s="734">
        <f>SUM(J119:K126)</f>
        <v>560.82000000000005</v>
      </c>
      <c r="K127" s="735"/>
      <c r="L127" s="736"/>
      <c r="M127" s="731">
        <f>SUM(M119:P126)-0.03</f>
        <v>46.704999999999998</v>
      </c>
      <c r="N127" s="732"/>
      <c r="O127" s="732"/>
      <c r="P127" s="732"/>
      <c r="Q127" s="733"/>
    </row>
    <row r="128" spans="1:17" ht="5.0999999999999996" customHeight="1" x14ac:dyDescent="0.25">
      <c r="A128" s="730"/>
      <c r="B128" s="730"/>
      <c r="C128" s="730"/>
      <c r="D128" s="730"/>
      <c r="E128" s="730"/>
      <c r="F128" s="730"/>
      <c r="G128" s="730"/>
      <c r="H128" s="730"/>
      <c r="I128" s="730"/>
      <c r="J128" s="730"/>
      <c r="K128" s="730"/>
      <c r="L128" s="730"/>
      <c r="M128" s="730"/>
      <c r="N128" s="730"/>
      <c r="O128" s="730"/>
      <c r="P128" s="730"/>
      <c r="Q128" s="295"/>
    </row>
    <row r="129" spans="1:17" ht="31.5" customHeight="1" x14ac:dyDescent="0.25">
      <c r="A129" s="667" t="s">
        <v>377</v>
      </c>
      <c r="B129" s="668"/>
      <c r="C129" s="668"/>
      <c r="D129" s="668"/>
      <c r="E129" s="668"/>
      <c r="F129" s="668"/>
      <c r="G129" s="668"/>
      <c r="H129" s="668"/>
      <c r="I129" s="668"/>
      <c r="J129" s="668"/>
      <c r="K129" s="668"/>
      <c r="L129" s="668"/>
      <c r="M129" s="668"/>
      <c r="N129" s="668"/>
      <c r="O129" s="668"/>
      <c r="P129" s="668"/>
      <c r="Q129" s="668"/>
    </row>
    <row r="130" spans="1:17" ht="6" hidden="1" customHeight="1" x14ac:dyDescent="0.25">
      <c r="A130" s="710" t="s">
        <v>285</v>
      </c>
      <c r="B130" s="706"/>
      <c r="C130" s="706"/>
      <c r="D130" s="706"/>
      <c r="E130" s="706"/>
      <c r="F130" s="706"/>
      <c r="G130" s="706"/>
      <c r="H130" s="706"/>
      <c r="I130" s="706"/>
      <c r="J130" s="706"/>
      <c r="K130" s="706"/>
      <c r="L130" s="706"/>
      <c r="M130" s="706"/>
      <c r="N130" s="706"/>
      <c r="O130" s="706"/>
      <c r="P130" s="706"/>
    </row>
    <row r="131" spans="1:17" ht="6" hidden="1" customHeight="1" x14ac:dyDescent="0.25">
      <c r="A131" s="667" t="s">
        <v>378</v>
      </c>
      <c r="B131" s="668"/>
      <c r="C131" s="668"/>
      <c r="D131" s="668"/>
      <c r="E131" s="668"/>
      <c r="F131" s="668"/>
      <c r="G131" s="668"/>
      <c r="H131" s="668"/>
      <c r="I131" s="668"/>
      <c r="J131" s="668"/>
      <c r="K131" s="668"/>
      <c r="L131" s="668"/>
      <c r="M131" s="668"/>
      <c r="N131" s="668"/>
      <c r="O131" s="668"/>
      <c r="P131" s="668"/>
    </row>
    <row r="132" spans="1:17" hidden="1" x14ac:dyDescent="0.25"/>
    <row r="133" spans="1:17" ht="5.0999999999999996" customHeight="1" x14ac:dyDescent="0.25">
      <c r="A133" s="728"/>
      <c r="B133" s="728"/>
      <c r="C133" s="728"/>
      <c r="D133" s="728"/>
      <c r="E133" s="728"/>
      <c r="F133" s="728"/>
      <c r="G133" s="728"/>
      <c r="H133" s="728"/>
      <c r="I133" s="728"/>
      <c r="J133" s="728"/>
      <c r="K133" s="728"/>
      <c r="L133" s="728"/>
      <c r="M133" s="728"/>
      <c r="N133" s="728"/>
      <c r="O133" s="728"/>
      <c r="P133" s="728"/>
    </row>
    <row r="134" spans="1:17" s="232" customFormat="1" ht="24.95" customHeight="1" x14ac:dyDescent="0.25">
      <c r="A134" s="709" t="s">
        <v>286</v>
      </c>
      <c r="B134" s="710"/>
      <c r="C134" s="710"/>
      <c r="D134" s="710"/>
      <c r="E134" s="710"/>
      <c r="F134" s="710"/>
      <c r="G134" s="710"/>
      <c r="H134" s="710"/>
      <c r="I134" s="710"/>
      <c r="J134" s="710"/>
      <c r="K134" s="710"/>
      <c r="L134" s="710"/>
      <c r="M134" s="710"/>
      <c r="N134" s="710"/>
      <c r="O134" s="710"/>
      <c r="P134" s="710"/>
      <c r="Q134" s="710"/>
    </row>
    <row r="135" spans="1:17" s="246" customFormat="1" ht="19.5" customHeight="1" x14ac:dyDescent="0.25">
      <c r="A135" s="711" t="s">
        <v>257</v>
      </c>
      <c r="B135" s="712"/>
      <c r="C135" s="712"/>
      <c r="D135" s="712"/>
      <c r="E135" s="712"/>
      <c r="F135" s="712"/>
      <c r="G135" s="712"/>
      <c r="H135" s="712"/>
      <c r="I135" s="712"/>
      <c r="J135" s="712"/>
      <c r="K135" s="712"/>
      <c r="L135" s="712"/>
      <c r="M135" s="712"/>
      <c r="N135" s="712"/>
      <c r="O135" s="712"/>
      <c r="P135" s="712"/>
      <c r="Q135" s="712"/>
    </row>
    <row r="136" spans="1:17" s="225" customFormat="1" ht="32.25" customHeight="1" x14ac:dyDescent="0.25">
      <c r="A136" s="685" t="s">
        <v>69</v>
      </c>
      <c r="B136" s="685"/>
      <c r="C136" s="685" t="s">
        <v>117</v>
      </c>
      <c r="D136" s="685"/>
      <c r="E136" s="310" t="s">
        <v>486</v>
      </c>
      <c r="F136" s="310" t="s">
        <v>490</v>
      </c>
      <c r="G136" s="310" t="s">
        <v>491</v>
      </c>
      <c r="H136" s="685" t="s">
        <v>119</v>
      </c>
      <c r="I136" s="685"/>
      <c r="J136" s="685"/>
      <c r="K136" s="685" t="s">
        <v>139</v>
      </c>
      <c r="L136" s="685"/>
      <c r="M136" s="685" t="s">
        <v>109</v>
      </c>
      <c r="N136" s="685"/>
      <c r="O136" s="685"/>
      <c r="P136" s="685"/>
      <c r="Q136" s="685"/>
    </row>
    <row r="137" spans="1:17" s="225" customFormat="1" ht="93" customHeight="1" x14ac:dyDescent="0.25">
      <c r="A137" s="696">
        <v>1</v>
      </c>
      <c r="B137" s="696"/>
      <c r="C137" s="702" t="s">
        <v>250</v>
      </c>
      <c r="D137" s="702"/>
      <c r="E137" s="311" t="s">
        <v>487</v>
      </c>
      <c r="F137" s="311">
        <v>4</v>
      </c>
      <c r="G137" s="346">
        <v>24</v>
      </c>
      <c r="H137" s="698">
        <f>'Equipamentos-IV'!G4</f>
        <v>34.82</v>
      </c>
      <c r="I137" s="698"/>
      <c r="J137" s="698"/>
      <c r="K137" s="698">
        <f t="shared" ref="K137:K144" si="2">H137*F137</f>
        <v>139.28</v>
      </c>
      <c r="L137" s="698"/>
      <c r="M137" s="670">
        <f>K137/G137</f>
        <v>5.8033333333333337</v>
      </c>
      <c r="N137" s="670"/>
      <c r="O137" s="670"/>
      <c r="P137" s="670"/>
      <c r="Q137" s="670"/>
    </row>
    <row r="138" spans="1:17" s="225" customFormat="1" ht="59.25" customHeight="1" x14ac:dyDescent="0.2">
      <c r="A138" s="696">
        <v>2</v>
      </c>
      <c r="B138" s="696"/>
      <c r="C138" s="729" t="s">
        <v>251</v>
      </c>
      <c r="D138" s="729"/>
      <c r="E138" s="311" t="s">
        <v>488</v>
      </c>
      <c r="F138" s="311">
        <v>7</v>
      </c>
      <c r="G138" s="346">
        <v>60</v>
      </c>
      <c r="H138" s="698">
        <f>'Equipamentos-IV'!G5</f>
        <v>20</v>
      </c>
      <c r="I138" s="698"/>
      <c r="J138" s="698"/>
      <c r="K138" s="698">
        <f t="shared" si="2"/>
        <v>140</v>
      </c>
      <c r="L138" s="698"/>
      <c r="M138" s="670">
        <f t="shared" ref="M138:M144" si="3">K138/G138</f>
        <v>2.3333333333333335</v>
      </c>
      <c r="N138" s="670"/>
      <c r="O138" s="670"/>
      <c r="P138" s="670"/>
      <c r="Q138" s="670"/>
    </row>
    <row r="139" spans="1:17" s="225" customFormat="1" ht="23.25" customHeight="1" x14ac:dyDescent="0.25">
      <c r="A139" s="696">
        <v>3</v>
      </c>
      <c r="B139" s="696"/>
      <c r="C139" s="703" t="s">
        <v>252</v>
      </c>
      <c r="D139" s="703"/>
      <c r="E139" s="311" t="s">
        <v>488</v>
      </c>
      <c r="F139" s="311">
        <v>7</v>
      </c>
      <c r="G139" s="346">
        <v>24</v>
      </c>
      <c r="H139" s="698">
        <f>'Equipamentos-IV'!G6</f>
        <v>20</v>
      </c>
      <c r="I139" s="698"/>
      <c r="J139" s="698"/>
      <c r="K139" s="698">
        <f t="shared" si="2"/>
        <v>140</v>
      </c>
      <c r="L139" s="698"/>
      <c r="M139" s="670">
        <f t="shared" si="3"/>
        <v>5.833333333333333</v>
      </c>
      <c r="N139" s="670"/>
      <c r="O139" s="670"/>
      <c r="P139" s="670"/>
      <c r="Q139" s="670"/>
    </row>
    <row r="140" spans="1:17" s="225" customFormat="1" ht="27" customHeight="1" x14ac:dyDescent="0.25">
      <c r="A140" s="696">
        <v>4</v>
      </c>
      <c r="B140" s="696"/>
      <c r="C140" s="703" t="s">
        <v>253</v>
      </c>
      <c r="D140" s="703"/>
      <c r="E140" s="311" t="s">
        <v>488</v>
      </c>
      <c r="F140" s="311">
        <v>13</v>
      </c>
      <c r="G140" s="346">
        <v>12</v>
      </c>
      <c r="H140" s="698">
        <f>'Equipamentos-IV'!G7</f>
        <v>3</v>
      </c>
      <c r="I140" s="698"/>
      <c r="J140" s="698"/>
      <c r="K140" s="698">
        <f t="shared" si="2"/>
        <v>39</v>
      </c>
      <c r="L140" s="698"/>
      <c r="M140" s="670">
        <f t="shared" si="3"/>
        <v>3.25</v>
      </c>
      <c r="N140" s="670"/>
      <c r="O140" s="670"/>
      <c r="P140" s="670"/>
      <c r="Q140" s="670"/>
    </row>
    <row r="141" spans="1:17" s="225" customFormat="1" ht="29.25" customHeight="1" x14ac:dyDescent="0.25">
      <c r="A141" s="696">
        <v>5</v>
      </c>
      <c r="B141" s="696"/>
      <c r="C141" s="703" t="s">
        <v>254</v>
      </c>
      <c r="D141" s="703"/>
      <c r="E141" s="311" t="s">
        <v>488</v>
      </c>
      <c r="F141" s="311">
        <v>13</v>
      </c>
      <c r="G141" s="346">
        <v>12</v>
      </c>
      <c r="H141" s="698">
        <f>'Equipamentos-IV'!G8</f>
        <v>2.5</v>
      </c>
      <c r="I141" s="698"/>
      <c r="J141" s="698"/>
      <c r="K141" s="698">
        <f t="shared" si="2"/>
        <v>32.5</v>
      </c>
      <c r="L141" s="698"/>
      <c r="M141" s="670">
        <f t="shared" si="3"/>
        <v>2.7083333333333335</v>
      </c>
      <c r="N141" s="670"/>
      <c r="O141" s="670"/>
      <c r="P141" s="670"/>
      <c r="Q141" s="670"/>
    </row>
    <row r="142" spans="1:17" s="225" customFormat="1" ht="62.25" customHeight="1" x14ac:dyDescent="0.25">
      <c r="A142" s="696">
        <v>6</v>
      </c>
      <c r="B142" s="696"/>
      <c r="C142" s="702" t="s">
        <v>288</v>
      </c>
      <c r="D142" s="702"/>
      <c r="E142" s="311" t="s">
        <v>488</v>
      </c>
      <c r="F142" s="311">
        <v>7</v>
      </c>
      <c r="G142" s="346">
        <v>12</v>
      </c>
      <c r="H142" s="698">
        <f>'Equipamentos-IV'!G9</f>
        <v>140</v>
      </c>
      <c r="I142" s="698"/>
      <c r="J142" s="698"/>
      <c r="K142" s="698">
        <f t="shared" si="2"/>
        <v>980</v>
      </c>
      <c r="L142" s="698"/>
      <c r="M142" s="670">
        <f t="shared" si="3"/>
        <v>81.666666666666671</v>
      </c>
      <c r="N142" s="670"/>
      <c r="O142" s="670"/>
      <c r="P142" s="670"/>
      <c r="Q142" s="670"/>
    </row>
    <row r="143" spans="1:17" s="225" customFormat="1" ht="24" customHeight="1" x14ac:dyDescent="0.25">
      <c r="A143" s="696">
        <v>7</v>
      </c>
      <c r="B143" s="696"/>
      <c r="C143" s="703" t="s">
        <v>255</v>
      </c>
      <c r="D143" s="703"/>
      <c r="E143" s="311" t="s">
        <v>488</v>
      </c>
      <c r="F143" s="311">
        <v>4</v>
      </c>
      <c r="G143" s="346">
        <v>12</v>
      </c>
      <c r="H143" s="698">
        <f>'Equipamentos-IV'!G10</f>
        <v>6</v>
      </c>
      <c r="I143" s="698"/>
      <c r="J143" s="698"/>
      <c r="K143" s="698">
        <f t="shared" si="2"/>
        <v>24</v>
      </c>
      <c r="L143" s="698"/>
      <c r="M143" s="670">
        <f t="shared" si="3"/>
        <v>2</v>
      </c>
      <c r="N143" s="670"/>
      <c r="O143" s="670"/>
      <c r="P143" s="670"/>
      <c r="Q143" s="670"/>
    </row>
    <row r="144" spans="1:17" s="225" customFormat="1" ht="23.25" customHeight="1" x14ac:dyDescent="0.25">
      <c r="A144" s="696">
        <v>8</v>
      </c>
      <c r="B144" s="696"/>
      <c r="C144" s="703" t="s">
        <v>256</v>
      </c>
      <c r="D144" s="703"/>
      <c r="E144" s="311" t="s">
        <v>489</v>
      </c>
      <c r="F144" s="311">
        <v>1</v>
      </c>
      <c r="G144" s="346">
        <v>60</v>
      </c>
      <c r="H144" s="698">
        <f>'Equipamentos-IV'!G11</f>
        <v>400</v>
      </c>
      <c r="I144" s="698"/>
      <c r="J144" s="698"/>
      <c r="K144" s="698">
        <f t="shared" si="2"/>
        <v>400</v>
      </c>
      <c r="L144" s="698"/>
      <c r="M144" s="670">
        <f t="shared" si="3"/>
        <v>6.666666666666667</v>
      </c>
      <c r="N144" s="670"/>
      <c r="O144" s="670"/>
      <c r="P144" s="670"/>
      <c r="Q144" s="670"/>
    </row>
    <row r="145" spans="1:17" s="246" customFormat="1" ht="15" x14ac:dyDescent="0.25">
      <c r="A145" s="699" t="s">
        <v>111</v>
      </c>
      <c r="B145" s="700"/>
      <c r="C145" s="700"/>
      <c r="D145" s="700"/>
      <c r="E145" s="700"/>
      <c r="F145" s="700"/>
      <c r="G145" s="700"/>
      <c r="H145" s="700"/>
      <c r="I145" s="700"/>
      <c r="J145" s="701"/>
      <c r="K145" s="726">
        <f>SUM(K137:L144)</f>
        <v>1894.78</v>
      </c>
      <c r="L145" s="726"/>
      <c r="M145" s="671">
        <f>SUM(M137:P144)</f>
        <v>110.26166666666667</v>
      </c>
      <c r="N145" s="671"/>
      <c r="O145" s="671"/>
      <c r="P145" s="671"/>
      <c r="Q145" s="671"/>
    </row>
    <row r="146" spans="1:17" s="246" customFormat="1" ht="15" x14ac:dyDescent="0.25">
      <c r="A146" s="699" t="s">
        <v>198</v>
      </c>
      <c r="B146" s="700"/>
      <c r="C146" s="700"/>
      <c r="D146" s="700"/>
      <c r="E146" s="700"/>
      <c r="F146" s="700"/>
      <c r="G146" s="700"/>
      <c r="H146" s="700"/>
      <c r="I146" s="700"/>
      <c r="J146" s="701"/>
      <c r="K146" s="727">
        <v>13</v>
      </c>
      <c r="L146" s="727"/>
      <c r="M146" s="671">
        <f>M145/13</f>
        <v>8.4816666666666674</v>
      </c>
      <c r="N146" s="671"/>
      <c r="O146" s="671"/>
      <c r="P146" s="671"/>
      <c r="Q146" s="671"/>
    </row>
    <row r="147" spans="1:17" s="239" customFormat="1" ht="5.0999999999999996" customHeight="1" x14ac:dyDescent="0.25">
      <c r="A147" s="668"/>
      <c r="B147" s="668"/>
      <c r="C147" s="668"/>
      <c r="D147" s="668"/>
      <c r="E147" s="668"/>
      <c r="F147" s="668"/>
      <c r="G147" s="668"/>
      <c r="H147" s="668"/>
      <c r="I147" s="668"/>
      <c r="J147" s="668"/>
      <c r="K147" s="668"/>
      <c r="L147" s="668"/>
      <c r="M147" s="668"/>
      <c r="N147" s="668"/>
      <c r="O147" s="668"/>
      <c r="P147" s="668"/>
    </row>
    <row r="148" spans="1:17" s="239" customFormat="1" ht="20.25" customHeight="1" x14ac:dyDescent="0.25">
      <c r="A148" s="344"/>
      <c r="B148" s="344"/>
      <c r="C148" s="344"/>
      <c r="D148" s="344"/>
      <c r="E148" s="344"/>
      <c r="F148" s="344"/>
      <c r="G148" s="344"/>
      <c r="H148" s="344"/>
      <c r="I148" s="344"/>
      <c r="J148" s="344"/>
      <c r="K148" s="344"/>
      <c r="L148" s="344"/>
      <c r="M148" s="344"/>
      <c r="N148" s="344"/>
      <c r="O148" s="344"/>
      <c r="P148" s="344"/>
    </row>
    <row r="149" spans="1:17" s="239" customFormat="1" ht="24.95" customHeight="1" x14ac:dyDescent="0.25">
      <c r="A149" s="682" t="s">
        <v>287</v>
      </c>
      <c r="B149" s="682"/>
      <c r="C149" s="682"/>
      <c r="D149" s="682"/>
      <c r="E149" s="682"/>
      <c r="F149" s="682"/>
      <c r="G149" s="682"/>
      <c r="H149" s="682"/>
      <c r="I149" s="682"/>
      <c r="J149" s="682"/>
      <c r="K149" s="682"/>
      <c r="L149" s="682"/>
      <c r="M149" s="682"/>
      <c r="N149" s="682"/>
      <c r="O149" s="682"/>
      <c r="P149" s="682"/>
      <c r="Q149" s="682"/>
    </row>
    <row r="150" spans="1:17" s="246" customFormat="1" ht="19.5" customHeight="1" x14ac:dyDescent="0.25">
      <c r="A150" s="683" t="s">
        <v>258</v>
      </c>
      <c r="B150" s="683"/>
      <c r="C150" s="683"/>
      <c r="D150" s="683"/>
      <c r="E150" s="683"/>
      <c r="F150" s="683"/>
      <c r="G150" s="683"/>
      <c r="H150" s="683"/>
      <c r="I150" s="683"/>
      <c r="J150" s="683"/>
      <c r="K150" s="683"/>
      <c r="L150" s="683"/>
      <c r="M150" s="683"/>
      <c r="N150" s="683"/>
      <c r="O150" s="683"/>
      <c r="P150" s="683"/>
      <c r="Q150" s="683"/>
    </row>
    <row r="151" spans="1:17" s="246" customFormat="1" ht="17.25" customHeight="1" x14ac:dyDescent="0.25">
      <c r="A151" s="684"/>
      <c r="B151" s="684"/>
      <c r="C151" s="684"/>
      <c r="D151" s="684"/>
      <c r="E151" s="684"/>
      <c r="F151" s="684"/>
      <c r="G151" s="684"/>
      <c r="H151" s="684"/>
      <c r="I151" s="684"/>
      <c r="J151" s="684"/>
      <c r="K151" s="684"/>
      <c r="L151" s="684"/>
      <c r="M151" s="684"/>
      <c r="N151" s="684"/>
      <c r="O151" s="684"/>
      <c r="P151" s="684"/>
      <c r="Q151" s="684"/>
    </row>
    <row r="152" spans="1:17" s="225" customFormat="1" ht="32.25" customHeight="1" x14ac:dyDescent="0.25">
      <c r="A152" s="725" t="s">
        <v>69</v>
      </c>
      <c r="B152" s="725"/>
      <c r="C152" s="697" t="s">
        <v>117</v>
      </c>
      <c r="D152" s="697"/>
      <c r="E152" s="347" t="s">
        <v>492</v>
      </c>
      <c r="F152" s="312" t="s">
        <v>118</v>
      </c>
      <c r="G152" s="297" t="s">
        <v>491</v>
      </c>
      <c r="H152" s="697" t="s">
        <v>119</v>
      </c>
      <c r="I152" s="697"/>
      <c r="J152" s="697"/>
      <c r="K152" s="697" t="s">
        <v>139</v>
      </c>
      <c r="L152" s="697"/>
      <c r="M152" s="685" t="s">
        <v>109</v>
      </c>
      <c r="N152" s="685"/>
      <c r="O152" s="685"/>
      <c r="P152" s="685"/>
      <c r="Q152" s="685"/>
    </row>
    <row r="153" spans="1:17" s="225" customFormat="1" ht="18" customHeight="1" x14ac:dyDescent="0.25">
      <c r="A153" s="696">
        <v>1</v>
      </c>
      <c r="B153" s="696"/>
      <c r="C153" s="702" t="s">
        <v>259</v>
      </c>
      <c r="D153" s="702"/>
      <c r="E153" s="346" t="s">
        <v>492</v>
      </c>
      <c r="F153" s="311">
        <v>5</v>
      </c>
      <c r="G153" s="348">
        <v>60</v>
      </c>
      <c r="H153" s="698">
        <f>'Equipamentos-IV'!G17</f>
        <v>1025</v>
      </c>
      <c r="I153" s="698"/>
      <c r="J153" s="698"/>
      <c r="K153" s="698">
        <f t="shared" ref="K153:K158" si="4">H153*F153</f>
        <v>5125</v>
      </c>
      <c r="L153" s="698"/>
      <c r="M153" s="670">
        <f>K153/G153</f>
        <v>85.416666666666671</v>
      </c>
      <c r="N153" s="670"/>
      <c r="O153" s="670"/>
      <c r="P153" s="670"/>
      <c r="Q153" s="670"/>
    </row>
    <row r="154" spans="1:17" s="225" customFormat="1" ht="15.75" customHeight="1" x14ac:dyDescent="0.25">
      <c r="A154" s="696">
        <v>2</v>
      </c>
      <c r="B154" s="696"/>
      <c r="C154" s="702" t="s">
        <v>260</v>
      </c>
      <c r="D154" s="702"/>
      <c r="E154" s="346" t="s">
        <v>492</v>
      </c>
      <c r="F154" s="311">
        <v>11</v>
      </c>
      <c r="G154" s="348">
        <v>24</v>
      </c>
      <c r="H154" s="698">
        <f>'Equipamentos-IV'!G18</f>
        <v>10</v>
      </c>
      <c r="I154" s="698"/>
      <c r="J154" s="698"/>
      <c r="K154" s="698">
        <f t="shared" si="4"/>
        <v>110</v>
      </c>
      <c r="L154" s="698"/>
      <c r="M154" s="670">
        <f t="shared" ref="M154:M158" si="5">K154/G154</f>
        <v>4.583333333333333</v>
      </c>
      <c r="N154" s="670"/>
      <c r="O154" s="670"/>
      <c r="P154" s="670"/>
      <c r="Q154" s="670"/>
    </row>
    <row r="155" spans="1:17" s="225" customFormat="1" ht="63" customHeight="1" x14ac:dyDescent="0.25">
      <c r="A155" s="696">
        <v>3</v>
      </c>
      <c r="B155" s="696"/>
      <c r="C155" s="702" t="s">
        <v>458</v>
      </c>
      <c r="D155" s="702"/>
      <c r="E155" s="346" t="s">
        <v>492</v>
      </c>
      <c r="F155" s="311">
        <v>5</v>
      </c>
      <c r="G155" s="348">
        <v>24</v>
      </c>
      <c r="H155" s="698">
        <f>'Equipamentos-IV'!G19</f>
        <v>10</v>
      </c>
      <c r="I155" s="698"/>
      <c r="J155" s="698"/>
      <c r="K155" s="698">
        <f t="shared" si="4"/>
        <v>50</v>
      </c>
      <c r="L155" s="698"/>
      <c r="M155" s="670">
        <f t="shared" si="5"/>
        <v>2.0833333333333335</v>
      </c>
      <c r="N155" s="670"/>
      <c r="O155" s="670"/>
      <c r="P155" s="670"/>
      <c r="Q155" s="670"/>
    </row>
    <row r="156" spans="1:17" s="225" customFormat="1" ht="26.25" customHeight="1" x14ac:dyDescent="0.25">
      <c r="A156" s="696">
        <v>4</v>
      </c>
      <c r="B156" s="696"/>
      <c r="C156" s="702" t="s">
        <v>459</v>
      </c>
      <c r="D156" s="702"/>
      <c r="E156" s="346" t="s">
        <v>492</v>
      </c>
      <c r="F156" s="311">
        <v>60</v>
      </c>
      <c r="G156" s="348">
        <v>6</v>
      </c>
      <c r="H156" s="698">
        <f>'Equipamentos-IV'!G20</f>
        <v>3.4</v>
      </c>
      <c r="I156" s="698"/>
      <c r="J156" s="698"/>
      <c r="K156" s="698">
        <f t="shared" si="4"/>
        <v>204</v>
      </c>
      <c r="L156" s="698"/>
      <c r="M156" s="670">
        <f t="shared" si="5"/>
        <v>34</v>
      </c>
      <c r="N156" s="670"/>
      <c r="O156" s="670"/>
      <c r="P156" s="670"/>
      <c r="Q156" s="670"/>
    </row>
    <row r="157" spans="1:17" s="225" customFormat="1" ht="20.25" customHeight="1" x14ac:dyDescent="0.25">
      <c r="A157" s="696">
        <v>5</v>
      </c>
      <c r="B157" s="696"/>
      <c r="C157" s="702" t="s">
        <v>264</v>
      </c>
      <c r="D157" s="702"/>
      <c r="E157" s="346" t="s">
        <v>492</v>
      </c>
      <c r="F157" s="311">
        <f>'Equipamentos-IV'!E21</f>
        <v>5</v>
      </c>
      <c r="G157" s="348">
        <v>60</v>
      </c>
      <c r="H157" s="698">
        <f>'Equipamentos-IV'!G21</f>
        <v>346</v>
      </c>
      <c r="I157" s="698"/>
      <c r="J157" s="698"/>
      <c r="K157" s="698">
        <f t="shared" si="4"/>
        <v>1730</v>
      </c>
      <c r="L157" s="698"/>
      <c r="M157" s="670">
        <f t="shared" si="5"/>
        <v>28.833333333333332</v>
      </c>
      <c r="N157" s="670"/>
      <c r="O157" s="670"/>
      <c r="P157" s="670"/>
      <c r="Q157" s="670"/>
    </row>
    <row r="158" spans="1:17" s="225" customFormat="1" ht="20.25" customHeight="1" x14ac:dyDescent="0.25">
      <c r="A158" s="696">
        <v>6</v>
      </c>
      <c r="B158" s="696"/>
      <c r="C158" s="702" t="s">
        <v>261</v>
      </c>
      <c r="D158" s="702"/>
      <c r="E158" s="346" t="s">
        <v>492</v>
      </c>
      <c r="F158" s="311">
        <f>'Equipamentos-IV'!E22</f>
        <v>11</v>
      </c>
      <c r="G158" s="348">
        <v>12</v>
      </c>
      <c r="H158" s="698">
        <f>'Equipamentos-IV'!G22</f>
        <v>24.87</v>
      </c>
      <c r="I158" s="698"/>
      <c r="J158" s="698"/>
      <c r="K158" s="698">
        <f t="shared" si="4"/>
        <v>273.57</v>
      </c>
      <c r="L158" s="698"/>
      <c r="M158" s="670">
        <f t="shared" si="5"/>
        <v>22.797499999999999</v>
      </c>
      <c r="N158" s="670"/>
      <c r="O158" s="670"/>
      <c r="P158" s="670"/>
      <c r="Q158" s="670"/>
    </row>
    <row r="159" spans="1:17" s="225" customFormat="1" ht="12" x14ac:dyDescent="0.25">
      <c r="A159" s="722" t="s">
        <v>111</v>
      </c>
      <c r="B159" s="723"/>
      <c r="C159" s="723"/>
      <c r="D159" s="723"/>
      <c r="E159" s="723"/>
      <c r="F159" s="723"/>
      <c r="G159" s="723"/>
      <c r="H159" s="723"/>
      <c r="I159" s="723"/>
      <c r="J159" s="724"/>
      <c r="K159" s="720">
        <f>SUM(K153:K158)</f>
        <v>7492.57</v>
      </c>
      <c r="L159" s="720"/>
      <c r="M159" s="671">
        <f>SUM(M153:M158)</f>
        <v>177.71416666666664</v>
      </c>
      <c r="N159" s="671"/>
      <c r="O159" s="671"/>
      <c r="P159" s="671"/>
      <c r="Q159" s="671"/>
    </row>
    <row r="160" spans="1:17" s="225" customFormat="1" ht="12" x14ac:dyDescent="0.25">
      <c r="A160" s="722" t="s">
        <v>198</v>
      </c>
      <c r="B160" s="723"/>
      <c r="C160" s="723"/>
      <c r="D160" s="723"/>
      <c r="E160" s="723"/>
      <c r="F160" s="723"/>
      <c r="G160" s="723"/>
      <c r="H160" s="723"/>
      <c r="I160" s="723"/>
      <c r="J160" s="724"/>
      <c r="K160" s="721">
        <v>11</v>
      </c>
      <c r="L160" s="721"/>
      <c r="M160" s="671">
        <f>M159/K160</f>
        <v>16.15583333333333</v>
      </c>
      <c r="N160" s="671"/>
      <c r="O160" s="671"/>
      <c r="P160" s="671"/>
      <c r="Q160" s="671"/>
    </row>
    <row r="161" spans="1:17" s="239" customFormat="1" ht="9.9499999999999993" customHeight="1" x14ac:dyDescent="0.25">
      <c r="A161" s="719"/>
      <c r="B161" s="719"/>
      <c r="C161" s="719"/>
      <c r="D161" s="719"/>
      <c r="E161" s="719"/>
      <c r="F161" s="719"/>
      <c r="G161" s="719"/>
      <c r="H161" s="719"/>
      <c r="I161" s="719"/>
      <c r="J161" s="719"/>
      <c r="K161" s="719"/>
      <c r="L161" s="719"/>
      <c r="M161" s="668"/>
      <c r="N161" s="668"/>
      <c r="O161" s="668"/>
      <c r="P161" s="668"/>
    </row>
    <row r="162" spans="1:17" s="239" customFormat="1" ht="42" customHeight="1" x14ac:dyDescent="0.25">
      <c r="A162" s="672" t="s">
        <v>379</v>
      </c>
      <c r="B162" s="673"/>
      <c r="C162" s="673"/>
      <c r="D162" s="673"/>
      <c r="E162" s="673"/>
      <c r="F162" s="673"/>
      <c r="G162" s="673"/>
      <c r="H162" s="673"/>
      <c r="I162" s="673"/>
      <c r="J162" s="673"/>
      <c r="K162" s="673"/>
      <c r="L162" s="673"/>
      <c r="M162" s="673"/>
      <c r="N162" s="673"/>
      <c r="O162" s="673"/>
      <c r="P162" s="673"/>
      <c r="Q162" s="674"/>
    </row>
    <row r="163" spans="1:17" s="239" customFormat="1" ht="18.75" customHeight="1" x14ac:dyDescent="0.25">
      <c r="A163" s="675" t="s">
        <v>448</v>
      </c>
      <c r="B163" s="676"/>
      <c r="C163" s="676"/>
      <c r="D163" s="676"/>
      <c r="E163" s="676"/>
      <c r="F163" s="676"/>
      <c r="G163" s="676"/>
      <c r="H163" s="676"/>
      <c r="I163" s="676"/>
      <c r="J163" s="676"/>
      <c r="K163" s="676"/>
      <c r="L163" s="676"/>
      <c r="M163" s="676"/>
      <c r="N163" s="676"/>
      <c r="O163" s="676"/>
      <c r="P163" s="676"/>
      <c r="Q163" s="677"/>
    </row>
    <row r="164" spans="1:17" s="239" customFormat="1" ht="35.1" customHeight="1" x14ac:dyDescent="0.25">
      <c r="A164" s="646" t="s">
        <v>380</v>
      </c>
      <c r="B164" s="647"/>
      <c r="C164" s="647"/>
      <c r="D164" s="647"/>
      <c r="E164" s="647"/>
      <c r="F164" s="647"/>
      <c r="G164" s="647"/>
      <c r="H164" s="647"/>
      <c r="I164" s="647"/>
      <c r="J164" s="647"/>
      <c r="K164" s="647"/>
      <c r="L164" s="647"/>
      <c r="M164" s="647"/>
      <c r="N164" s="647"/>
      <c r="O164" s="647"/>
      <c r="P164" s="647"/>
      <c r="Q164" s="648"/>
    </row>
    <row r="165" spans="1:17" s="239" customFormat="1" ht="35.1" customHeight="1" x14ac:dyDescent="0.25">
      <c r="A165" s="649" t="s">
        <v>450</v>
      </c>
      <c r="B165" s="650"/>
      <c r="C165" s="650"/>
      <c r="D165" s="650"/>
      <c r="E165" s="650"/>
      <c r="F165" s="650"/>
      <c r="G165" s="650"/>
      <c r="H165" s="650"/>
      <c r="I165" s="650"/>
      <c r="J165" s="650"/>
      <c r="K165" s="650"/>
      <c r="L165" s="650"/>
      <c r="M165" s="650"/>
      <c r="N165" s="650"/>
      <c r="O165" s="650"/>
      <c r="P165" s="650"/>
      <c r="Q165" s="651"/>
    </row>
    <row r="166" spans="1:17" s="239" customFormat="1" ht="35.1" customHeight="1" x14ac:dyDescent="0.25">
      <c r="A166" s="652"/>
      <c r="B166" s="653"/>
      <c r="C166" s="653"/>
      <c r="D166" s="653"/>
      <c r="E166" s="653"/>
      <c r="F166" s="653"/>
      <c r="G166" s="653"/>
      <c r="H166" s="653"/>
      <c r="I166" s="653"/>
      <c r="J166" s="653"/>
      <c r="K166" s="653"/>
      <c r="L166" s="653"/>
      <c r="M166" s="653"/>
      <c r="N166" s="653"/>
      <c r="O166" s="653"/>
      <c r="P166" s="653"/>
      <c r="Q166" s="654"/>
    </row>
    <row r="167" spans="1:17" s="239" customFormat="1" ht="186.75" customHeight="1" x14ac:dyDescent="0.25">
      <c r="A167" s="655"/>
      <c r="B167" s="656"/>
      <c r="C167" s="656"/>
      <c r="D167" s="656"/>
      <c r="E167" s="656"/>
      <c r="F167" s="656"/>
      <c r="G167" s="656"/>
      <c r="H167" s="656"/>
      <c r="I167" s="656"/>
      <c r="J167" s="656"/>
      <c r="K167" s="656"/>
      <c r="L167" s="656"/>
      <c r="M167" s="656"/>
      <c r="N167" s="656"/>
      <c r="O167" s="656"/>
      <c r="P167" s="656"/>
      <c r="Q167" s="657"/>
    </row>
    <row r="168" spans="1:17" s="239" customFormat="1" ht="13.5" customHeight="1" x14ac:dyDescent="0.25">
      <c r="A168" s="679" t="s">
        <v>449</v>
      </c>
      <c r="B168" s="680"/>
      <c r="C168" s="680"/>
      <c r="D168" s="680"/>
      <c r="E168" s="680"/>
      <c r="F168" s="680"/>
      <c r="G168" s="680"/>
      <c r="H168" s="680"/>
      <c r="I168" s="680"/>
      <c r="J168" s="680"/>
      <c r="K168" s="680"/>
      <c r="L168" s="680"/>
      <c r="M168" s="680"/>
      <c r="N168" s="680"/>
      <c r="O168" s="680"/>
      <c r="P168" s="680"/>
      <c r="Q168" s="681"/>
    </row>
    <row r="169" spans="1:17" s="239" customFormat="1" ht="35.1" customHeight="1" x14ac:dyDescent="0.25">
      <c r="A169" s="646" t="s">
        <v>381</v>
      </c>
      <c r="B169" s="647"/>
      <c r="C169" s="647"/>
      <c r="D169" s="647"/>
      <c r="E169" s="647"/>
      <c r="F169" s="647"/>
      <c r="G169" s="647"/>
      <c r="H169" s="647"/>
      <c r="I169" s="647"/>
      <c r="J169" s="647"/>
      <c r="K169" s="647"/>
      <c r="L169" s="647"/>
      <c r="M169" s="647"/>
      <c r="N169" s="647"/>
      <c r="O169" s="647"/>
      <c r="P169" s="647"/>
      <c r="Q169" s="648"/>
    </row>
    <row r="170" spans="1:17" s="239" customFormat="1" ht="35.1" customHeight="1" x14ac:dyDescent="0.25">
      <c r="A170" s="649" t="s">
        <v>451</v>
      </c>
      <c r="B170" s="650"/>
      <c r="C170" s="650"/>
      <c r="D170" s="650"/>
      <c r="E170" s="650"/>
      <c r="F170" s="650"/>
      <c r="G170" s="650"/>
      <c r="H170" s="650"/>
      <c r="I170" s="650"/>
      <c r="J170" s="650"/>
      <c r="K170" s="650"/>
      <c r="L170" s="650"/>
      <c r="M170" s="650"/>
      <c r="N170" s="650"/>
      <c r="O170" s="650"/>
      <c r="P170" s="650"/>
      <c r="Q170" s="651"/>
    </row>
    <row r="171" spans="1:17" s="239" customFormat="1" ht="35.1" customHeight="1" x14ac:dyDescent="0.25">
      <c r="A171" s="652"/>
      <c r="B171" s="653"/>
      <c r="C171" s="653"/>
      <c r="D171" s="653"/>
      <c r="E171" s="653"/>
      <c r="F171" s="653"/>
      <c r="G171" s="653"/>
      <c r="H171" s="653"/>
      <c r="I171" s="653"/>
      <c r="J171" s="653"/>
      <c r="K171" s="653"/>
      <c r="L171" s="653"/>
      <c r="M171" s="653"/>
      <c r="N171" s="653"/>
      <c r="O171" s="653"/>
      <c r="P171" s="653"/>
      <c r="Q171" s="654"/>
    </row>
    <row r="172" spans="1:17" s="239" customFormat="1" ht="259.5" customHeight="1" x14ac:dyDescent="0.25">
      <c r="A172" s="655"/>
      <c r="B172" s="656"/>
      <c r="C172" s="656"/>
      <c r="D172" s="656"/>
      <c r="E172" s="656"/>
      <c r="F172" s="656"/>
      <c r="G172" s="656"/>
      <c r="H172" s="656"/>
      <c r="I172" s="656"/>
      <c r="J172" s="656"/>
      <c r="K172" s="656"/>
      <c r="L172" s="656"/>
      <c r="M172" s="656"/>
      <c r="N172" s="656"/>
      <c r="O172" s="656"/>
      <c r="P172" s="656"/>
      <c r="Q172" s="657"/>
    </row>
    <row r="173" spans="1:17" s="239" customFormat="1" ht="13.5" customHeight="1" x14ac:dyDescent="0.25">
      <c r="A173" s="678" t="s">
        <v>382</v>
      </c>
      <c r="B173" s="678"/>
      <c r="C173" s="678"/>
      <c r="D173" s="678"/>
      <c r="E173" s="678"/>
      <c r="F173" s="678"/>
      <c r="G173" s="678"/>
      <c r="H173" s="678"/>
      <c r="I173" s="678"/>
      <c r="J173" s="678"/>
      <c r="K173" s="678"/>
      <c r="L173" s="678"/>
      <c r="M173" s="678"/>
      <c r="N173" s="678"/>
      <c r="O173" s="678"/>
      <c r="P173" s="678"/>
      <c r="Q173" s="678"/>
    </row>
    <row r="174" spans="1:17" s="239" customFormat="1" ht="44.25" customHeight="1" x14ac:dyDescent="0.25">
      <c r="A174" s="667" t="s">
        <v>383</v>
      </c>
      <c r="B174" s="668"/>
      <c r="C174" s="668"/>
      <c r="D174" s="668"/>
      <c r="E174" s="668"/>
      <c r="F174" s="668"/>
      <c r="G174" s="668"/>
      <c r="H174" s="668"/>
      <c r="I174" s="668"/>
      <c r="J174" s="668"/>
      <c r="K174" s="668"/>
      <c r="L174" s="668"/>
      <c r="M174" s="668"/>
      <c r="N174" s="668"/>
      <c r="O174" s="668"/>
      <c r="P174" s="668"/>
      <c r="Q174" s="668"/>
    </row>
    <row r="175" spans="1:17" x14ac:dyDescent="0.25">
      <c r="A175" s="658" t="s">
        <v>483</v>
      </c>
      <c r="B175" s="659"/>
      <c r="C175" s="659"/>
      <c r="D175" s="659"/>
      <c r="E175" s="659"/>
      <c r="F175" s="659"/>
      <c r="G175" s="659"/>
      <c r="H175" s="659"/>
      <c r="I175" s="659"/>
      <c r="J175" s="659"/>
      <c r="K175" s="659"/>
      <c r="L175" s="659"/>
      <c r="M175" s="659"/>
      <c r="N175" s="659"/>
      <c r="O175" s="659"/>
      <c r="P175" s="659"/>
      <c r="Q175" s="660"/>
    </row>
    <row r="176" spans="1:17" x14ac:dyDescent="0.25">
      <c r="A176" s="661"/>
      <c r="B176" s="662"/>
      <c r="C176" s="662"/>
      <c r="D176" s="662"/>
      <c r="E176" s="662"/>
      <c r="F176" s="662"/>
      <c r="G176" s="662"/>
      <c r="H176" s="662"/>
      <c r="I176" s="662"/>
      <c r="J176" s="662"/>
      <c r="K176" s="662"/>
      <c r="L176" s="662"/>
      <c r="M176" s="662"/>
      <c r="N176" s="662"/>
      <c r="O176" s="662"/>
      <c r="P176" s="662"/>
      <c r="Q176" s="663"/>
    </row>
    <row r="177" spans="1:17" ht="270" customHeight="1" x14ac:dyDescent="0.25">
      <c r="A177" s="664"/>
      <c r="B177" s="665"/>
      <c r="C177" s="665"/>
      <c r="D177" s="665"/>
      <c r="E177" s="665"/>
      <c r="F177" s="665"/>
      <c r="G177" s="665"/>
      <c r="H177" s="665"/>
      <c r="I177" s="665"/>
      <c r="J177" s="665"/>
      <c r="K177" s="665"/>
      <c r="L177" s="665"/>
      <c r="M177" s="665"/>
      <c r="N177" s="665"/>
      <c r="O177" s="665"/>
      <c r="P177" s="665"/>
      <c r="Q177" s="666"/>
    </row>
  </sheetData>
  <mergeCells count="328">
    <mergeCell ref="J123:L123"/>
    <mergeCell ref="J124:L124"/>
    <mergeCell ref="J125:L125"/>
    <mergeCell ref="J126:L126"/>
    <mergeCell ref="H118:I118"/>
    <mergeCell ref="H119:I119"/>
    <mergeCell ref="H120:I120"/>
    <mergeCell ref="H121:I121"/>
    <mergeCell ref="H122:I122"/>
    <mergeCell ref="H123:I123"/>
    <mergeCell ref="H124:I124"/>
    <mergeCell ref="H125:I125"/>
    <mergeCell ref="H126:I126"/>
    <mergeCell ref="A3:Q3"/>
    <mergeCell ref="A5:Q5"/>
    <mergeCell ref="A7:Q7"/>
    <mergeCell ref="A10:Q10"/>
    <mergeCell ref="A54:K54"/>
    <mergeCell ref="L54:Q54"/>
    <mergeCell ref="A55:K55"/>
    <mergeCell ref="L55:Q55"/>
    <mergeCell ref="A62:K62"/>
    <mergeCell ref="L62:Q62"/>
    <mergeCell ref="A58:Q58"/>
    <mergeCell ref="A56:Q56"/>
    <mergeCell ref="A57:Q57"/>
    <mergeCell ref="A30:Q30"/>
    <mergeCell ref="A6:Q6"/>
    <mergeCell ref="A9:Q9"/>
    <mergeCell ref="A13:Q13"/>
    <mergeCell ref="A19:Q19"/>
    <mergeCell ref="A23:Q23"/>
    <mergeCell ref="A24:Q24"/>
    <mergeCell ref="A25:Q25"/>
    <mergeCell ref="A26:Q26"/>
    <mergeCell ref="A27:Q27"/>
    <mergeCell ref="A28:Q28"/>
    <mergeCell ref="A29:Q29"/>
    <mergeCell ref="A14:Q14"/>
    <mergeCell ref="A20:Q20"/>
    <mergeCell ref="A21:Q21"/>
    <mergeCell ref="F33:Q33"/>
    <mergeCell ref="F34:Q34"/>
    <mergeCell ref="A34:D34"/>
    <mergeCell ref="A35:Q35"/>
    <mergeCell ref="A36:Q36"/>
    <mergeCell ref="F37:Q37"/>
    <mergeCell ref="B37:D37"/>
    <mergeCell ref="B31:D31"/>
    <mergeCell ref="B32:D32"/>
    <mergeCell ref="F31:Q31"/>
    <mergeCell ref="F32:Q32"/>
    <mergeCell ref="B33:D33"/>
    <mergeCell ref="A45:D45"/>
    <mergeCell ref="F45:Q45"/>
    <mergeCell ref="F38:Q38"/>
    <mergeCell ref="B38:D38"/>
    <mergeCell ref="F39:Q39"/>
    <mergeCell ref="B39:D39"/>
    <mergeCell ref="A47:Q47"/>
    <mergeCell ref="A64:Q64"/>
    <mergeCell ref="A65:Q65"/>
    <mergeCell ref="A49:Q49"/>
    <mergeCell ref="F42:Q42"/>
    <mergeCell ref="B40:D40"/>
    <mergeCell ref="B41:D41"/>
    <mergeCell ref="B42:D42"/>
    <mergeCell ref="F43:Q43"/>
    <mergeCell ref="F44:Q44"/>
    <mergeCell ref="B43:D43"/>
    <mergeCell ref="B44:D44"/>
    <mergeCell ref="F40:Q40"/>
    <mergeCell ref="F41:Q41"/>
    <mergeCell ref="A63:K63"/>
    <mergeCell ref="L63:Q63"/>
    <mergeCell ref="A48:Q48"/>
    <mergeCell ref="H50:K50"/>
    <mergeCell ref="H51:K51"/>
    <mergeCell ref="H52:K52"/>
    <mergeCell ref="L50:Q50"/>
    <mergeCell ref="L51:Q51"/>
    <mergeCell ref="L52:Q52"/>
    <mergeCell ref="D50:F50"/>
    <mergeCell ref="A83:Q83"/>
    <mergeCell ref="A85:Q85"/>
    <mergeCell ref="A87:Q87"/>
    <mergeCell ref="A79:Q79"/>
    <mergeCell ref="A76:Q76"/>
    <mergeCell ref="A80:Q80"/>
    <mergeCell ref="A84:Q84"/>
    <mergeCell ref="A88:Q88"/>
    <mergeCell ref="A78:E78"/>
    <mergeCell ref="F78:Q78"/>
    <mergeCell ref="A86:E86"/>
    <mergeCell ref="F86:Q86"/>
    <mergeCell ref="A82:E82"/>
    <mergeCell ref="F82:Q82"/>
    <mergeCell ref="A2:Q2"/>
    <mergeCell ref="A1:Q1"/>
    <mergeCell ref="A12:Q12"/>
    <mergeCell ref="A16:Q16"/>
    <mergeCell ref="A22:Q22"/>
    <mergeCell ref="A4:Q4"/>
    <mergeCell ref="A11:Q11"/>
    <mergeCell ref="A15:Q15"/>
    <mergeCell ref="B103:D103"/>
    <mergeCell ref="A96:D96"/>
    <mergeCell ref="B95:D95"/>
    <mergeCell ref="B94:D94"/>
    <mergeCell ref="A89:Q89"/>
    <mergeCell ref="B90:D90"/>
    <mergeCell ref="B91:D91"/>
    <mergeCell ref="B92:D92"/>
    <mergeCell ref="A8:Q8"/>
    <mergeCell ref="B101:D101"/>
    <mergeCell ref="B102:D102"/>
    <mergeCell ref="A75:Q75"/>
    <mergeCell ref="A77:Q77"/>
    <mergeCell ref="B93:D93"/>
    <mergeCell ref="F93:Q93"/>
    <mergeCell ref="A81:Q81"/>
    <mergeCell ref="A50:C50"/>
    <mergeCell ref="A51:C52"/>
    <mergeCell ref="D51:F51"/>
    <mergeCell ref="D52:F52"/>
    <mergeCell ref="A59:C60"/>
    <mergeCell ref="D59:F59"/>
    <mergeCell ref="D60:F60"/>
    <mergeCell ref="A61:K61"/>
    <mergeCell ref="L53:Q53"/>
    <mergeCell ref="A53:K53"/>
    <mergeCell ref="L59:Q59"/>
    <mergeCell ref="L60:Q60"/>
    <mergeCell ref="L61:Q61"/>
    <mergeCell ref="H59:K59"/>
    <mergeCell ref="H60:K60"/>
    <mergeCell ref="A66:Q66"/>
    <mergeCell ref="A74:E74"/>
    <mergeCell ref="F74:Q74"/>
    <mergeCell ref="G70:H70"/>
    <mergeCell ref="G71:H71"/>
    <mergeCell ref="I69:K69"/>
    <mergeCell ref="I70:K70"/>
    <mergeCell ref="I71:K71"/>
    <mergeCell ref="L69:Q69"/>
    <mergeCell ref="L70:Q70"/>
    <mergeCell ref="L71:Q71"/>
    <mergeCell ref="B69:C69"/>
    <mergeCell ref="B70:C70"/>
    <mergeCell ref="B71:C71"/>
    <mergeCell ref="D69:E69"/>
    <mergeCell ref="D70:E70"/>
    <mergeCell ref="D71:E71"/>
    <mergeCell ref="G69:H69"/>
    <mergeCell ref="A68:Q68"/>
    <mergeCell ref="A67:Q67"/>
    <mergeCell ref="A72:Q72"/>
    <mergeCell ref="A73:Q73"/>
    <mergeCell ref="K138:L138"/>
    <mergeCell ref="K139:L139"/>
    <mergeCell ref="K140:L140"/>
    <mergeCell ref="K141:L141"/>
    <mergeCell ref="A109:Q110"/>
    <mergeCell ref="F95:Q95"/>
    <mergeCell ref="F94:Q94"/>
    <mergeCell ref="F90:Q90"/>
    <mergeCell ref="F91:Q91"/>
    <mergeCell ref="F92:Q92"/>
    <mergeCell ref="M118:Q118"/>
    <mergeCell ref="M119:Q119"/>
    <mergeCell ref="M120:Q120"/>
    <mergeCell ref="M121:Q121"/>
    <mergeCell ref="M122:Q122"/>
    <mergeCell ref="M123:Q123"/>
    <mergeCell ref="M124:Q124"/>
    <mergeCell ref="M125:Q125"/>
    <mergeCell ref="M126:Q126"/>
    <mergeCell ref="J118:L118"/>
    <mergeCell ref="J119:L119"/>
    <mergeCell ref="J120:L120"/>
    <mergeCell ref="J121:L121"/>
    <mergeCell ref="J122:L122"/>
    <mergeCell ref="B124:D124"/>
    <mergeCell ref="B125:D125"/>
    <mergeCell ref="A128:P128"/>
    <mergeCell ref="B126:D126"/>
    <mergeCell ref="M127:Q127"/>
    <mergeCell ref="J127:L127"/>
    <mergeCell ref="A127:G127"/>
    <mergeCell ref="H127:I127"/>
    <mergeCell ref="K137:L137"/>
    <mergeCell ref="M145:Q145"/>
    <mergeCell ref="A143:B143"/>
    <mergeCell ref="A133:P133"/>
    <mergeCell ref="A147:P147"/>
    <mergeCell ref="A136:B136"/>
    <mergeCell ref="M138:Q138"/>
    <mergeCell ref="M139:Q139"/>
    <mergeCell ref="C137:D137"/>
    <mergeCell ref="C138:D138"/>
    <mergeCell ref="C139:D139"/>
    <mergeCell ref="C140:D140"/>
    <mergeCell ref="H137:J137"/>
    <mergeCell ref="H138:J138"/>
    <mergeCell ref="H139:J139"/>
    <mergeCell ref="H140:J140"/>
    <mergeCell ref="A144:B144"/>
    <mergeCell ref="M143:Q143"/>
    <mergeCell ref="M144:Q144"/>
    <mergeCell ref="A137:B137"/>
    <mergeCell ref="A138:B138"/>
    <mergeCell ref="A139:B139"/>
    <mergeCell ref="C136:D136"/>
    <mergeCell ref="H136:J136"/>
    <mergeCell ref="K136:L136"/>
    <mergeCell ref="K143:L143"/>
    <mergeCell ref="K144:L144"/>
    <mergeCell ref="K145:L145"/>
    <mergeCell ref="K146:L146"/>
    <mergeCell ref="K155:L155"/>
    <mergeCell ref="K156:L156"/>
    <mergeCell ref="A154:B154"/>
    <mergeCell ref="A155:B155"/>
    <mergeCell ref="A156:B156"/>
    <mergeCell ref="A161:P161"/>
    <mergeCell ref="C152:D152"/>
    <mergeCell ref="C153:D153"/>
    <mergeCell ref="C154:D154"/>
    <mergeCell ref="C155:D155"/>
    <mergeCell ref="C156:D156"/>
    <mergeCell ref="C157:D157"/>
    <mergeCell ref="C158:D158"/>
    <mergeCell ref="K158:L158"/>
    <mergeCell ref="K159:L159"/>
    <mergeCell ref="K160:L160"/>
    <mergeCell ref="K152:L152"/>
    <mergeCell ref="H158:J158"/>
    <mergeCell ref="A159:J159"/>
    <mergeCell ref="A160:J160"/>
    <mergeCell ref="A152:B152"/>
    <mergeCell ref="A153:B153"/>
    <mergeCell ref="M156:Q156"/>
    <mergeCell ref="A158:B158"/>
    <mergeCell ref="K153:L153"/>
    <mergeCell ref="K154:L154"/>
    <mergeCell ref="K157:L157"/>
    <mergeCell ref="F103:Q103"/>
    <mergeCell ref="F104:Q104"/>
    <mergeCell ref="F105:Q105"/>
    <mergeCell ref="F106:Q106"/>
    <mergeCell ref="A108:Q108"/>
    <mergeCell ref="A111:Q111"/>
    <mergeCell ref="A112:Q112"/>
    <mergeCell ref="A113:Q113"/>
    <mergeCell ref="A114:Q114"/>
    <mergeCell ref="A107:P107"/>
    <mergeCell ref="A115:Q115"/>
    <mergeCell ref="A116:Q116"/>
    <mergeCell ref="A117:Q117"/>
    <mergeCell ref="M140:Q140"/>
    <mergeCell ref="M141:Q141"/>
    <mergeCell ref="M142:Q142"/>
    <mergeCell ref="M137:Q137"/>
    <mergeCell ref="A129:Q129"/>
    <mergeCell ref="A134:Q134"/>
    <mergeCell ref="A135:Q135"/>
    <mergeCell ref="M136:Q136"/>
    <mergeCell ref="A142:B142"/>
    <mergeCell ref="C141:D141"/>
    <mergeCell ref="K142:L142"/>
    <mergeCell ref="A140:B140"/>
    <mergeCell ref="A141:B141"/>
    <mergeCell ref="A131:P131"/>
    <mergeCell ref="A130:P130"/>
    <mergeCell ref="B118:D118"/>
    <mergeCell ref="B119:D119"/>
    <mergeCell ref="B120:D120"/>
    <mergeCell ref="B121:D121"/>
    <mergeCell ref="B122:D122"/>
    <mergeCell ref="B123:D123"/>
    <mergeCell ref="A97:Q98"/>
    <mergeCell ref="A99:Q99"/>
    <mergeCell ref="A100:Q100"/>
    <mergeCell ref="F101:Q101"/>
    <mergeCell ref="F102:Q102"/>
    <mergeCell ref="B105:D105"/>
    <mergeCell ref="A106:D106"/>
    <mergeCell ref="B104:D104"/>
    <mergeCell ref="A157:B157"/>
    <mergeCell ref="H152:J152"/>
    <mergeCell ref="H153:J153"/>
    <mergeCell ref="H154:J154"/>
    <mergeCell ref="H155:J155"/>
    <mergeCell ref="H156:J156"/>
    <mergeCell ref="H157:J157"/>
    <mergeCell ref="A145:J145"/>
    <mergeCell ref="A146:J146"/>
    <mergeCell ref="C142:D142"/>
    <mergeCell ref="C143:D143"/>
    <mergeCell ref="C144:D144"/>
    <mergeCell ref="H141:J141"/>
    <mergeCell ref="H142:J142"/>
    <mergeCell ref="H143:J143"/>
    <mergeCell ref="H144:J144"/>
    <mergeCell ref="A164:Q164"/>
    <mergeCell ref="A165:Q167"/>
    <mergeCell ref="A170:Q172"/>
    <mergeCell ref="A175:Q177"/>
    <mergeCell ref="A174:Q174"/>
    <mergeCell ref="A17:Q18"/>
    <mergeCell ref="M157:Q157"/>
    <mergeCell ref="M158:Q158"/>
    <mergeCell ref="M159:Q159"/>
    <mergeCell ref="M160:Q160"/>
    <mergeCell ref="A162:Q162"/>
    <mergeCell ref="A163:Q163"/>
    <mergeCell ref="A169:Q169"/>
    <mergeCell ref="A173:Q173"/>
    <mergeCell ref="A168:Q168"/>
    <mergeCell ref="M146:Q146"/>
    <mergeCell ref="A149:Q149"/>
    <mergeCell ref="A150:Q150"/>
    <mergeCell ref="A151:Q151"/>
    <mergeCell ref="M152:Q152"/>
    <mergeCell ref="M153:Q153"/>
    <mergeCell ref="M154:Q154"/>
    <mergeCell ref="M155:Q155"/>
    <mergeCell ref="F96:Q96"/>
  </mergeCells>
  <hyperlinks>
    <hyperlink ref="A7" r:id="rId1" display="http://www.planalto.gov.br/ccivil_03/decreto-lei/Del5452.htm" xr:uid="{00000000-0004-0000-0E00-000000000000}"/>
    <hyperlink ref="A10" r:id="rId2" display="http://www.planalto.gov.br/ccivil_03/decreto-lei/Del5452.htm" xr:uid="{00000000-0004-0000-0E00-000001000000}"/>
    <hyperlink ref="A14" r:id="rId3" display="http://www.planalto.gov.br/ccivil_03/decreto-lei/Del5452.htm" xr:uid="{00000000-0004-0000-0E00-000002000000}"/>
    <hyperlink ref="A21" r:id="rId4" display="http://www.planalto.gov.br/ccivil_03/decreto-lei/Del5452.htm" xr:uid="{00000000-0004-0000-0E00-000003000000}"/>
    <hyperlink ref="A24" r:id="rId5" display="http://www.planalto.gov.br/ccivil_03/decreto-lei/Del5452.htm" xr:uid="{00000000-0004-0000-0E00-000004000000}"/>
    <hyperlink ref="A26" r:id="rId6" display="http://www.planalto.gov.br/ccivil_03/decreto-lei/Del5452.htm" xr:uid="{00000000-0004-0000-0E00-000005000000}"/>
    <hyperlink ref="F40" r:id="rId7" display="http://www.planalto.gov.br/ccivil_03/_Ato2019-2022/2020/Mpv/mpv932.htm" xr:uid="{00000000-0004-0000-0E00-000006000000}"/>
    <hyperlink ref="F41" r:id="rId8" display="http://www.planalto.gov.br/ccivil_03/_Ato2019-2022/2020/Mpv/mpv932.htm" xr:uid="{00000000-0004-0000-0E00-000007000000}"/>
    <hyperlink ref="A114" r:id="rId9" display="http://www.planalto.gov.br/ccivil_03/decreto-lei/Del5452.htm" xr:uid="{00000000-0004-0000-0E00-000008000000}"/>
  </hyperlinks>
  <printOptions horizontalCentered="1" verticalCentered="1"/>
  <pageMargins left="0.70866141732283472" right="0.70866141732283472" top="0.74803149606299213" bottom="0.74803149606299213" header="0.31496062992125984" footer="0.31496062992125984"/>
  <pageSetup paperSize="9" scale="55" orientation="portrait" r:id="rId10"/>
  <rowBreaks count="6" manualBreakCount="6">
    <brk id="28" max="16" man="1"/>
    <brk id="46" max="16" man="1"/>
    <brk id="87" max="16" man="1"/>
    <brk id="107" max="16" man="1"/>
    <brk id="114" max="16" man="1"/>
    <brk id="148" max="16" man="1"/>
  </rowBreaks>
  <colBreaks count="1" manualBreakCount="1">
    <brk id="17" max="169"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T134"/>
  <sheetViews>
    <sheetView topLeftCell="A25" workbookViewId="0">
      <selection activeCell="B29" sqref="B29"/>
    </sheetView>
  </sheetViews>
  <sheetFormatPr defaultRowHeight="12.75" x14ac:dyDescent="0.25"/>
  <cols>
    <col min="1" max="1" width="92.7109375" style="1" customWidth="1"/>
    <col min="2" max="2" width="15.28515625" style="13" customWidth="1"/>
    <col min="3" max="3" width="12.42578125" style="1" customWidth="1"/>
    <col min="4" max="4" width="10.28515625" style="1" bestFit="1" customWidth="1"/>
    <col min="5" max="12" width="9.140625" style="1"/>
    <col min="13" max="13" width="12.42578125" style="1" customWidth="1"/>
    <col min="14" max="14" width="10.28515625" style="1" bestFit="1" customWidth="1"/>
    <col min="15" max="16384" width="9.140625" style="1"/>
  </cols>
  <sheetData>
    <row r="1" spans="1:14" ht="15.75" thickBot="1" x14ac:dyDescent="0.3">
      <c r="A1" s="3"/>
      <c r="B1" s="4"/>
    </row>
    <row r="2" spans="1:14" ht="16.5" thickBot="1" x14ac:dyDescent="0.3">
      <c r="A2" s="817" t="s">
        <v>74</v>
      </c>
      <c r="B2" s="818"/>
      <c r="C2" s="819" t="s">
        <v>456</v>
      </c>
      <c r="D2" s="819"/>
      <c r="E2" s="819"/>
      <c r="F2" s="819"/>
      <c r="G2" s="819"/>
      <c r="H2" s="819"/>
      <c r="I2" s="819"/>
      <c r="J2" s="819"/>
      <c r="K2" s="819"/>
      <c r="L2" s="819"/>
    </row>
    <row r="3" spans="1:14" ht="16.5" thickBot="1" x14ac:dyDescent="0.3">
      <c r="A3" s="191" t="s">
        <v>31</v>
      </c>
      <c r="B3" s="17"/>
      <c r="C3" s="819"/>
      <c r="D3" s="819"/>
      <c r="E3" s="819"/>
      <c r="F3" s="819"/>
      <c r="G3" s="819"/>
      <c r="H3" s="819"/>
      <c r="I3" s="819"/>
      <c r="J3" s="819"/>
      <c r="K3" s="819"/>
      <c r="L3" s="819"/>
    </row>
    <row r="4" spans="1:14" ht="15.75" thickBot="1" x14ac:dyDescent="0.3">
      <c r="A4" s="6" t="s">
        <v>128</v>
      </c>
      <c r="B4" s="16"/>
      <c r="C4" s="819"/>
      <c r="D4" s="819"/>
      <c r="E4" s="819"/>
      <c r="F4" s="819"/>
      <c r="G4" s="819"/>
      <c r="H4" s="819"/>
      <c r="I4" s="819"/>
      <c r="J4" s="819"/>
      <c r="K4" s="819"/>
      <c r="L4" s="819"/>
    </row>
    <row r="5" spans="1:14" ht="15" x14ac:dyDescent="0.25">
      <c r="A5" s="9" t="s">
        <v>406</v>
      </c>
      <c r="B5" s="18">
        <v>8.3299999999999999E-2</v>
      </c>
      <c r="C5" s="819"/>
      <c r="D5" s="819"/>
      <c r="E5" s="819"/>
      <c r="F5" s="819"/>
      <c r="G5" s="819"/>
      <c r="H5" s="819"/>
      <c r="I5" s="819"/>
      <c r="J5" s="819"/>
      <c r="K5" s="819"/>
      <c r="L5" s="819"/>
    </row>
    <row r="6" spans="1:14" s="7" customFormat="1" ht="15" x14ac:dyDescent="0.25">
      <c r="A6" s="10" t="s">
        <v>409</v>
      </c>
      <c r="B6" s="15">
        <v>2.7799999999999998E-2</v>
      </c>
      <c r="C6" s="819"/>
      <c r="D6" s="819"/>
      <c r="E6" s="819"/>
      <c r="F6" s="819"/>
      <c r="G6" s="819"/>
      <c r="H6" s="819"/>
      <c r="I6" s="819"/>
      <c r="J6" s="819"/>
      <c r="K6" s="819"/>
      <c r="L6" s="819"/>
      <c r="M6" s="134"/>
    </row>
    <row r="7" spans="1:14" s="7" customFormat="1" ht="15.75" thickBot="1" x14ac:dyDescent="0.3">
      <c r="A7" s="10" t="s">
        <v>129</v>
      </c>
      <c r="B7" s="15">
        <f>SUM(B5:B6)</f>
        <v>0.1111</v>
      </c>
      <c r="C7" s="819"/>
      <c r="D7" s="819"/>
      <c r="E7" s="819"/>
      <c r="F7" s="819"/>
      <c r="G7" s="819"/>
      <c r="H7" s="819"/>
      <c r="I7" s="819"/>
      <c r="J7" s="819"/>
      <c r="K7" s="819"/>
      <c r="L7" s="819"/>
      <c r="M7" s="134"/>
    </row>
    <row r="8" spans="1:14" s="7" customFormat="1" ht="15.75" hidden="1" customHeight="1" thickBot="1" x14ac:dyDescent="0.3">
      <c r="A8" s="10" t="s">
        <v>194</v>
      </c>
      <c r="B8" s="15">
        <f>B7*B20</f>
        <v>3.9218300000000005E-2</v>
      </c>
      <c r="C8" s="819"/>
      <c r="D8" s="819"/>
      <c r="E8" s="819"/>
      <c r="F8" s="819"/>
      <c r="G8" s="819"/>
      <c r="H8" s="819"/>
      <c r="I8" s="819"/>
      <c r="J8" s="819"/>
      <c r="K8" s="819"/>
      <c r="L8" s="819"/>
      <c r="M8" s="134"/>
    </row>
    <row r="9" spans="1:14" ht="15.75" thickBot="1" x14ac:dyDescent="0.3">
      <c r="A9" s="25" t="s">
        <v>76</v>
      </c>
      <c r="B9" s="26">
        <f>B7</f>
        <v>0.1111</v>
      </c>
      <c r="C9" s="819"/>
      <c r="D9" s="819"/>
      <c r="E9" s="819"/>
      <c r="F9" s="819"/>
      <c r="G9" s="819"/>
      <c r="H9" s="819"/>
      <c r="I9" s="819"/>
      <c r="J9" s="819"/>
      <c r="K9" s="819"/>
      <c r="L9" s="819"/>
      <c r="N9" s="23"/>
    </row>
    <row r="10" spans="1:14" s="19" customFormat="1" ht="9" customHeight="1" thickBot="1" x14ac:dyDescent="0.3">
      <c r="A10" s="27"/>
      <c r="B10" s="28"/>
      <c r="C10" s="819"/>
      <c r="D10" s="819"/>
      <c r="E10" s="819"/>
      <c r="F10" s="819"/>
      <c r="G10" s="819"/>
      <c r="H10" s="819"/>
      <c r="I10" s="819"/>
      <c r="J10" s="819"/>
      <c r="K10" s="819"/>
      <c r="L10" s="819"/>
      <c r="N10" s="29"/>
    </row>
    <row r="11" spans="1:14" s="7" customFormat="1" ht="16.5" customHeight="1" thickBot="1" x14ac:dyDescent="0.3">
      <c r="A11" s="820" t="s">
        <v>59</v>
      </c>
      <c r="B11" s="821"/>
      <c r="C11" s="819"/>
      <c r="D11" s="819"/>
      <c r="E11" s="819"/>
      <c r="F11" s="819"/>
      <c r="G11" s="819"/>
      <c r="H11" s="819"/>
      <c r="I11" s="819"/>
      <c r="J11" s="819"/>
      <c r="K11" s="819"/>
      <c r="L11" s="819"/>
    </row>
    <row r="12" spans="1:14" s="7" customFormat="1" ht="15" x14ac:dyDescent="0.25">
      <c r="A12" s="2" t="s">
        <v>13</v>
      </c>
      <c r="B12" s="14">
        <v>0.2</v>
      </c>
      <c r="C12" s="819"/>
      <c r="D12" s="819"/>
      <c r="E12" s="819"/>
      <c r="F12" s="819"/>
      <c r="G12" s="819"/>
      <c r="H12" s="819"/>
      <c r="I12" s="819"/>
      <c r="J12" s="819"/>
      <c r="K12" s="819"/>
      <c r="L12" s="819"/>
    </row>
    <row r="13" spans="1:14" ht="15" x14ac:dyDescent="0.25">
      <c r="A13" s="2" t="s">
        <v>60</v>
      </c>
      <c r="B13" s="14">
        <v>2.5000000000000001E-2</v>
      </c>
      <c r="C13" s="819"/>
      <c r="D13" s="819"/>
      <c r="E13" s="819"/>
      <c r="F13" s="819"/>
      <c r="G13" s="819"/>
      <c r="H13" s="819"/>
      <c r="I13" s="819"/>
      <c r="J13" s="819"/>
      <c r="K13" s="819"/>
      <c r="L13" s="819"/>
    </row>
    <row r="14" spans="1:14" s="7" customFormat="1" ht="15" x14ac:dyDescent="0.25">
      <c r="A14" s="2" t="s">
        <v>72</v>
      </c>
      <c r="B14" s="14">
        <v>1.4999999999999999E-2</v>
      </c>
      <c r="C14" s="819"/>
      <c r="D14" s="819"/>
      <c r="E14" s="819"/>
      <c r="F14" s="819"/>
      <c r="G14" s="819"/>
      <c r="H14" s="819"/>
      <c r="I14" s="819"/>
      <c r="J14" s="819"/>
      <c r="K14" s="819"/>
      <c r="L14" s="819"/>
    </row>
    <row r="15" spans="1:14" s="7" customFormat="1" ht="15" x14ac:dyDescent="0.25">
      <c r="A15" s="2" t="s">
        <v>61</v>
      </c>
      <c r="B15" s="14">
        <v>1.4999999999999999E-2</v>
      </c>
      <c r="C15" s="819"/>
      <c r="D15" s="819"/>
      <c r="E15" s="819"/>
      <c r="F15" s="819"/>
      <c r="G15" s="819"/>
      <c r="H15" s="819"/>
      <c r="I15" s="819"/>
      <c r="J15" s="819"/>
      <c r="K15" s="819"/>
      <c r="L15" s="819"/>
    </row>
    <row r="16" spans="1:14" s="7" customFormat="1" ht="15" x14ac:dyDescent="0.25">
      <c r="A16" s="2" t="s">
        <v>62</v>
      </c>
      <c r="B16" s="14">
        <v>0.01</v>
      </c>
      <c r="C16" s="819"/>
      <c r="D16" s="819"/>
      <c r="E16" s="819"/>
      <c r="F16" s="819"/>
      <c r="G16" s="819"/>
      <c r="H16" s="819"/>
      <c r="I16" s="819"/>
      <c r="J16" s="819"/>
      <c r="K16" s="819"/>
      <c r="L16" s="819"/>
    </row>
    <row r="17" spans="1:20" ht="15" x14ac:dyDescent="0.25">
      <c r="A17" s="2" t="s">
        <v>63</v>
      </c>
      <c r="B17" s="14">
        <v>6.0000000000000001E-3</v>
      </c>
      <c r="C17" s="819"/>
      <c r="D17" s="819"/>
      <c r="E17" s="819"/>
      <c r="F17" s="819"/>
      <c r="G17" s="819"/>
      <c r="H17" s="819"/>
      <c r="I17" s="819"/>
      <c r="J17" s="819"/>
      <c r="K17" s="819"/>
      <c r="L17" s="819"/>
    </row>
    <row r="18" spans="1:20" ht="15" x14ac:dyDescent="0.25">
      <c r="A18" s="2" t="s">
        <v>64</v>
      </c>
      <c r="B18" s="14">
        <v>2E-3</v>
      </c>
      <c r="C18" s="819"/>
      <c r="D18" s="819"/>
      <c r="E18" s="819"/>
      <c r="F18" s="819"/>
      <c r="G18" s="819"/>
      <c r="H18" s="819"/>
      <c r="I18" s="819"/>
      <c r="J18" s="819"/>
      <c r="K18" s="819"/>
      <c r="L18" s="819"/>
    </row>
    <row r="19" spans="1:20" ht="15.75" thickBot="1" x14ac:dyDescent="0.3">
      <c r="A19" s="2" t="s">
        <v>65</v>
      </c>
      <c r="B19" s="14">
        <v>0.08</v>
      </c>
      <c r="C19" s="819"/>
      <c r="D19" s="819"/>
      <c r="E19" s="819"/>
      <c r="F19" s="819"/>
      <c r="G19" s="819"/>
      <c r="H19" s="819"/>
      <c r="I19" s="819"/>
      <c r="J19" s="819"/>
      <c r="K19" s="819"/>
      <c r="L19" s="819"/>
    </row>
    <row r="20" spans="1:20" s="7" customFormat="1" ht="15" thickBot="1" x14ac:dyDescent="0.3">
      <c r="A20" s="25" t="s">
        <v>1</v>
      </c>
      <c r="B20" s="122">
        <f>SUM(B12:B19)</f>
        <v>0.35300000000000004</v>
      </c>
      <c r="C20" s="819"/>
      <c r="D20" s="819"/>
      <c r="E20" s="819"/>
      <c r="F20" s="819"/>
      <c r="G20" s="819"/>
      <c r="H20" s="819"/>
      <c r="I20" s="819"/>
      <c r="J20" s="819"/>
      <c r="K20" s="819"/>
      <c r="L20" s="819"/>
      <c r="N20" s="22"/>
    </row>
    <row r="21" spans="1:20" s="19" customFormat="1" ht="9" customHeight="1" thickBot="1" x14ac:dyDescent="0.3">
      <c r="A21" s="27"/>
      <c r="B21" s="28"/>
      <c r="C21" s="819"/>
      <c r="D21" s="819"/>
      <c r="E21" s="819"/>
      <c r="F21" s="819"/>
      <c r="G21" s="819"/>
      <c r="H21" s="819"/>
      <c r="I21" s="819"/>
      <c r="J21" s="819"/>
      <c r="K21" s="819"/>
      <c r="L21" s="819"/>
      <c r="N21" s="29"/>
    </row>
    <row r="22" spans="1:20" s="5" customFormat="1" ht="16.5" thickBot="1" x14ac:dyDescent="0.3">
      <c r="A22" s="820" t="s">
        <v>36</v>
      </c>
      <c r="B22" s="821"/>
      <c r="C22" s="819"/>
      <c r="D22" s="819"/>
      <c r="E22" s="819"/>
      <c r="F22" s="819"/>
      <c r="G22" s="819"/>
      <c r="H22" s="819"/>
      <c r="I22" s="819"/>
      <c r="J22" s="819"/>
      <c r="K22" s="819"/>
      <c r="L22" s="819"/>
    </row>
    <row r="23" spans="1:20" s="7" customFormat="1" ht="15.75" thickBot="1" x14ac:dyDescent="0.3">
      <c r="A23" s="6" t="s">
        <v>37</v>
      </c>
      <c r="B23" s="16"/>
      <c r="C23" s="819"/>
      <c r="D23" s="819"/>
      <c r="E23" s="819"/>
      <c r="F23" s="819"/>
      <c r="G23" s="819"/>
      <c r="H23" s="819"/>
      <c r="I23" s="819"/>
      <c r="J23" s="819"/>
      <c r="K23" s="819"/>
      <c r="L23" s="819"/>
    </row>
    <row r="24" spans="1:20" s="7" customFormat="1" ht="57.75" customHeight="1" x14ac:dyDescent="0.25">
      <c r="A24" s="30" t="s">
        <v>440</v>
      </c>
      <c r="B24" s="14">
        <f>((1/12)*0.01)</f>
        <v>8.3333333333333328E-4</v>
      </c>
      <c r="C24" s="819"/>
      <c r="D24" s="819"/>
      <c r="E24" s="819"/>
      <c r="F24" s="819"/>
      <c r="G24" s="819"/>
      <c r="H24" s="819"/>
      <c r="I24" s="819"/>
      <c r="J24" s="819"/>
      <c r="K24" s="819"/>
      <c r="L24" s="819"/>
      <c r="M24" s="822"/>
      <c r="N24" s="823"/>
      <c r="O24" s="823"/>
      <c r="P24" s="823"/>
      <c r="Q24" s="823"/>
      <c r="R24" s="823"/>
      <c r="S24" s="823"/>
      <c r="T24" s="823"/>
    </row>
    <row r="25" spans="1:20" ht="15" x14ac:dyDescent="0.25">
      <c r="A25" s="11" t="s">
        <v>410</v>
      </c>
      <c r="B25" s="292">
        <f>B24*8%</f>
        <v>6.666666666666667E-5</v>
      </c>
      <c r="C25" s="819"/>
      <c r="D25" s="819"/>
      <c r="E25" s="819"/>
      <c r="F25" s="819"/>
      <c r="G25" s="819"/>
      <c r="H25" s="819"/>
      <c r="I25" s="819"/>
      <c r="J25" s="819"/>
      <c r="K25" s="819"/>
      <c r="L25" s="819"/>
    </row>
    <row r="26" spans="1:20" ht="51" x14ac:dyDescent="0.25">
      <c r="A26" s="281" t="s">
        <v>413</v>
      </c>
      <c r="B26" s="14">
        <f>0.05*0.4*0.08</f>
        <v>1.6000000000000003E-3</v>
      </c>
      <c r="C26" s="819"/>
      <c r="D26" s="819"/>
      <c r="E26" s="819"/>
      <c r="F26" s="819"/>
      <c r="G26" s="819"/>
      <c r="H26" s="819"/>
      <c r="I26" s="819"/>
      <c r="J26" s="819"/>
      <c r="K26" s="819"/>
      <c r="L26" s="819"/>
    </row>
    <row r="27" spans="1:20" s="19" customFormat="1" ht="63.75" x14ac:dyDescent="0.25">
      <c r="A27" s="30" t="s">
        <v>441</v>
      </c>
      <c r="B27" s="31">
        <f>((7/30)/12*0.02)</f>
        <v>3.8888888888888892E-4</v>
      </c>
      <c r="C27" s="819"/>
      <c r="D27" s="819"/>
      <c r="E27" s="819"/>
      <c r="F27" s="819"/>
      <c r="G27" s="819"/>
      <c r="H27" s="819"/>
      <c r="I27" s="819"/>
      <c r="J27" s="819"/>
      <c r="K27" s="819"/>
      <c r="L27" s="819"/>
      <c r="M27" s="822"/>
      <c r="N27" s="823"/>
      <c r="O27" s="823"/>
      <c r="P27" s="823"/>
      <c r="Q27" s="823"/>
      <c r="R27" s="823"/>
      <c r="S27" s="823"/>
      <c r="T27" s="823"/>
    </row>
    <row r="28" spans="1:20" ht="15" x14ac:dyDescent="0.25">
      <c r="A28" s="11" t="s">
        <v>195</v>
      </c>
      <c r="B28" s="14">
        <f>B27*B20</f>
        <v>1.372777777777778E-4</v>
      </c>
      <c r="C28" s="819"/>
      <c r="D28" s="819"/>
      <c r="E28" s="819"/>
      <c r="F28" s="819"/>
      <c r="G28" s="819"/>
      <c r="H28" s="819"/>
      <c r="I28" s="819"/>
      <c r="J28" s="819"/>
      <c r="K28" s="819"/>
      <c r="L28" s="819"/>
    </row>
    <row r="29" spans="1:20" ht="179.25" thickBot="1" x14ac:dyDescent="0.3">
      <c r="A29" s="147" t="s">
        <v>412</v>
      </c>
      <c r="B29" s="14">
        <f>(0.08*0.4)*0.847*(1+5/56+5/56+(1/3*5/56))</f>
        <v>3.2750666666666657E-2</v>
      </c>
      <c r="C29" s="819"/>
      <c r="D29" s="819"/>
      <c r="E29" s="819"/>
      <c r="F29" s="819"/>
      <c r="G29" s="819"/>
      <c r="H29" s="819"/>
      <c r="I29" s="819"/>
      <c r="J29" s="819"/>
      <c r="K29" s="819"/>
      <c r="L29" s="819"/>
      <c r="M29" s="23"/>
    </row>
    <row r="30" spans="1:20" s="7" customFormat="1" ht="15" thickBot="1" x14ac:dyDescent="0.3">
      <c r="A30" s="8" t="s">
        <v>16</v>
      </c>
      <c r="B30" s="123">
        <f>SUM(B24:B29)</f>
        <v>3.5776833333333327E-2</v>
      </c>
      <c r="C30" s="819"/>
      <c r="D30" s="819"/>
      <c r="E30" s="819"/>
      <c r="F30" s="819"/>
      <c r="G30" s="819"/>
      <c r="H30" s="819"/>
      <c r="I30" s="819"/>
      <c r="J30" s="819"/>
      <c r="K30" s="819"/>
      <c r="L30" s="819"/>
      <c r="N30" s="22"/>
    </row>
    <row r="31" spans="1:20" s="7" customFormat="1" ht="15.75" thickBot="1" x14ac:dyDescent="0.3">
      <c r="A31" s="8"/>
      <c r="B31" s="20"/>
      <c r="C31" s="819"/>
      <c r="D31" s="819"/>
      <c r="E31" s="819"/>
      <c r="F31" s="819"/>
      <c r="G31" s="819"/>
      <c r="H31" s="819"/>
      <c r="I31" s="819"/>
      <c r="J31" s="819"/>
      <c r="K31" s="819"/>
      <c r="L31" s="819"/>
    </row>
    <row r="32" spans="1:20" s="5" customFormat="1" ht="16.5" thickBot="1" x14ac:dyDescent="0.3">
      <c r="A32" s="820" t="s">
        <v>38</v>
      </c>
      <c r="B32" s="821"/>
      <c r="C32" s="819"/>
      <c r="D32" s="819"/>
      <c r="E32" s="819"/>
      <c r="F32" s="819"/>
      <c r="G32" s="819"/>
      <c r="H32" s="819"/>
      <c r="I32" s="819"/>
      <c r="J32" s="819"/>
      <c r="K32" s="819"/>
      <c r="L32" s="819"/>
    </row>
    <row r="33" spans="1:14" s="7" customFormat="1" ht="15.75" thickBot="1" x14ac:dyDescent="0.3">
      <c r="A33" s="6" t="s">
        <v>39</v>
      </c>
      <c r="B33" s="16"/>
      <c r="C33" s="819"/>
      <c r="D33" s="819"/>
      <c r="E33" s="819"/>
      <c r="F33" s="819"/>
      <c r="G33" s="819"/>
      <c r="H33" s="819"/>
      <c r="I33" s="819"/>
      <c r="J33" s="819"/>
      <c r="K33" s="819"/>
      <c r="L33" s="819"/>
    </row>
    <row r="34" spans="1:14" ht="51.75" x14ac:dyDescent="0.25">
      <c r="A34" s="280" t="s">
        <v>405</v>
      </c>
      <c r="B34" s="14">
        <f>ROUND(1/12,4)</f>
        <v>8.3299999999999999E-2</v>
      </c>
      <c r="C34" s="819"/>
      <c r="D34" s="819"/>
      <c r="E34" s="819"/>
      <c r="F34" s="819"/>
      <c r="G34" s="819"/>
      <c r="H34" s="819"/>
      <c r="I34" s="819"/>
      <c r="J34" s="819"/>
      <c r="K34" s="819"/>
      <c r="L34" s="819"/>
    </row>
    <row r="35" spans="1:14" ht="35.25" x14ac:dyDescent="0.25">
      <c r="A35" s="2" t="s">
        <v>196</v>
      </c>
      <c r="B35" s="14">
        <v>2.0000000000000001E-4</v>
      </c>
      <c r="C35" s="819"/>
      <c r="D35" s="819"/>
      <c r="E35" s="819"/>
      <c r="F35" s="819"/>
      <c r="G35" s="819"/>
      <c r="H35" s="819"/>
      <c r="I35" s="819"/>
      <c r="J35" s="819"/>
      <c r="K35" s="819"/>
      <c r="L35" s="819"/>
    </row>
    <row r="36" spans="1:14" s="7" customFormat="1" ht="35.25" x14ac:dyDescent="0.25">
      <c r="A36" s="30" t="s">
        <v>418</v>
      </c>
      <c r="B36" s="31">
        <v>2.0000000000000001E-4</v>
      </c>
      <c r="C36" s="819"/>
      <c r="D36" s="819"/>
      <c r="E36" s="819"/>
      <c r="F36" s="819"/>
      <c r="G36" s="819"/>
      <c r="H36" s="819"/>
      <c r="I36" s="819"/>
      <c r="J36" s="819"/>
      <c r="K36" s="819"/>
      <c r="L36" s="819"/>
    </row>
    <row r="37" spans="1:14" s="282" customFormat="1" ht="48.75" x14ac:dyDescent="0.25">
      <c r="A37" s="293" t="s">
        <v>442</v>
      </c>
      <c r="B37" s="31">
        <f>(15/30/12)*0.01</f>
        <v>4.1666666666666664E-4</v>
      </c>
      <c r="C37" s="819"/>
      <c r="D37" s="819"/>
      <c r="E37" s="819"/>
      <c r="F37" s="819"/>
      <c r="G37" s="819"/>
      <c r="H37" s="819"/>
      <c r="I37" s="819"/>
      <c r="J37" s="819"/>
      <c r="K37" s="819"/>
      <c r="L37" s="819"/>
    </row>
    <row r="38" spans="1:14" ht="81" x14ac:dyDescent="0.25">
      <c r="A38" s="2" t="s">
        <v>419</v>
      </c>
      <c r="B38" s="14">
        <f>((1/12)*4+(1.33/12)*4)/12*0.31/100</f>
        <v>2.0063888888888887E-4</v>
      </c>
      <c r="C38" s="819"/>
      <c r="D38" s="819"/>
      <c r="E38" s="819"/>
      <c r="F38" s="819"/>
      <c r="G38" s="819"/>
      <c r="H38" s="819"/>
      <c r="I38" s="819"/>
      <c r="J38" s="819"/>
      <c r="K38" s="819"/>
      <c r="L38" s="819"/>
    </row>
    <row r="39" spans="1:14" ht="21.75" customHeight="1" x14ac:dyDescent="0.25">
      <c r="A39" s="2" t="s">
        <v>147</v>
      </c>
      <c r="B39" s="31">
        <v>0</v>
      </c>
      <c r="C39" s="819"/>
      <c r="D39" s="819"/>
      <c r="E39" s="819"/>
      <c r="F39" s="819"/>
      <c r="G39" s="819"/>
      <c r="H39" s="819"/>
      <c r="I39" s="819"/>
      <c r="J39" s="819"/>
      <c r="K39" s="819"/>
      <c r="L39" s="819"/>
    </row>
    <row r="40" spans="1:14" s="7" customFormat="1" ht="15" customHeight="1" x14ac:dyDescent="0.25">
      <c r="A40" s="21" t="s">
        <v>66</v>
      </c>
      <c r="B40" s="15">
        <f>SUM(B34:B39)</f>
        <v>8.4317305555555555E-2</v>
      </c>
      <c r="C40" s="819"/>
      <c r="D40" s="819"/>
      <c r="E40" s="819"/>
      <c r="F40" s="819"/>
      <c r="G40" s="819"/>
      <c r="H40" s="819"/>
      <c r="I40" s="819"/>
      <c r="J40" s="819"/>
      <c r="K40" s="819"/>
      <c r="L40" s="819"/>
    </row>
    <row r="41" spans="1:14" s="7" customFormat="1" ht="15" customHeight="1" thickBot="1" x14ac:dyDescent="0.3">
      <c r="A41" s="32" t="s">
        <v>1</v>
      </c>
      <c r="B41" s="33">
        <f>SUM(B40:B40)</f>
        <v>8.4317305555555555E-2</v>
      </c>
      <c r="C41" s="819"/>
      <c r="D41" s="819"/>
      <c r="E41" s="819"/>
      <c r="F41" s="819"/>
      <c r="G41" s="819"/>
      <c r="H41" s="819"/>
      <c r="I41" s="819"/>
      <c r="J41" s="819"/>
      <c r="K41" s="819"/>
      <c r="L41" s="819"/>
      <c r="N41" s="22"/>
    </row>
    <row r="42" spans="1:14" s="19" customFormat="1" ht="16.5" thickBot="1" x14ac:dyDescent="0.3">
      <c r="A42" s="34" t="s">
        <v>75</v>
      </c>
      <c r="B42" s="35">
        <f>B9+B20+B30+B41</f>
        <v>0.58419413888888894</v>
      </c>
      <c r="C42" s="819"/>
      <c r="D42" s="819"/>
      <c r="E42" s="819"/>
      <c r="F42" s="819"/>
      <c r="G42" s="819"/>
      <c r="H42" s="819"/>
      <c r="I42" s="819"/>
      <c r="J42" s="819"/>
      <c r="K42" s="819"/>
      <c r="L42" s="819"/>
      <c r="N42" s="29"/>
    </row>
    <row r="43" spans="1:14" x14ac:dyDescent="0.25">
      <c r="B43" s="1"/>
    </row>
    <row r="44" spans="1:14" x14ac:dyDescent="0.25">
      <c r="B44" s="23">
        <f>B7*B20</f>
        <v>3.9218300000000005E-2</v>
      </c>
    </row>
    <row r="45" spans="1:14" x14ac:dyDescent="0.25">
      <c r="B45" s="1"/>
    </row>
    <row r="46" spans="1:14" x14ac:dyDescent="0.25">
      <c r="B46" s="23">
        <f>B42+B44</f>
        <v>0.62341243888888898</v>
      </c>
    </row>
    <row r="47" spans="1:14" x14ac:dyDescent="0.25">
      <c r="B47" s="1"/>
    </row>
    <row r="48" spans="1:14" x14ac:dyDescent="0.25">
      <c r="B48" s="1"/>
    </row>
    <row r="49" spans="1:2" x14ac:dyDescent="0.25">
      <c r="B49" s="1"/>
    </row>
    <row r="50" spans="1:2" x14ac:dyDescent="0.25">
      <c r="B50" s="1"/>
    </row>
    <row r="51" spans="1:2" x14ac:dyDescent="0.25">
      <c r="B51" s="1"/>
    </row>
    <row r="52" spans="1:2" x14ac:dyDescent="0.25">
      <c r="A52" s="12"/>
      <c r="B52" s="1"/>
    </row>
    <row r="53" spans="1:2" x14ac:dyDescent="0.25">
      <c r="B53" s="1"/>
    </row>
    <row r="54" spans="1:2" x14ac:dyDescent="0.25">
      <c r="B54" s="1"/>
    </row>
    <row r="55" spans="1:2" x14ac:dyDescent="0.25">
      <c r="B55" s="1"/>
    </row>
    <row r="56" spans="1:2" x14ac:dyDescent="0.25">
      <c r="B56" s="1"/>
    </row>
    <row r="57" spans="1:2" x14ac:dyDescent="0.25">
      <c r="B57" s="1"/>
    </row>
    <row r="58" spans="1:2" x14ac:dyDescent="0.25">
      <c r="B58" s="1"/>
    </row>
    <row r="59" spans="1:2" x14ac:dyDescent="0.25">
      <c r="B59" s="1"/>
    </row>
    <row r="60" spans="1:2" x14ac:dyDescent="0.25">
      <c r="B60" s="1"/>
    </row>
    <row r="61" spans="1:2" x14ac:dyDescent="0.25">
      <c r="B61" s="1"/>
    </row>
    <row r="62" spans="1:2" x14ac:dyDescent="0.25">
      <c r="B62" s="1"/>
    </row>
    <row r="63" spans="1:2" x14ac:dyDescent="0.25">
      <c r="B63" s="1"/>
    </row>
    <row r="64" spans="1:2" x14ac:dyDescent="0.25">
      <c r="B64" s="1"/>
    </row>
    <row r="65" spans="2:2" x14ac:dyDescent="0.25">
      <c r="B65" s="1"/>
    </row>
    <row r="66" spans="2:2" x14ac:dyDescent="0.25">
      <c r="B66" s="1"/>
    </row>
    <row r="67" spans="2:2" x14ac:dyDescent="0.25">
      <c r="B67" s="1"/>
    </row>
    <row r="68" spans="2:2" x14ac:dyDescent="0.25">
      <c r="B68" s="1"/>
    </row>
    <row r="69" spans="2:2" x14ac:dyDescent="0.25">
      <c r="B69" s="1"/>
    </row>
    <row r="70" spans="2:2" x14ac:dyDescent="0.25">
      <c r="B70" s="1"/>
    </row>
    <row r="71" spans="2:2" x14ac:dyDescent="0.25">
      <c r="B71" s="1"/>
    </row>
    <row r="72" spans="2:2" x14ac:dyDescent="0.25">
      <c r="B72" s="1"/>
    </row>
    <row r="73" spans="2:2" x14ac:dyDescent="0.25">
      <c r="B73" s="1"/>
    </row>
    <row r="74" spans="2:2" x14ac:dyDescent="0.25">
      <c r="B74" s="1"/>
    </row>
    <row r="75" spans="2:2" x14ac:dyDescent="0.25">
      <c r="B75" s="1"/>
    </row>
    <row r="76" spans="2:2" x14ac:dyDescent="0.25">
      <c r="B76" s="1"/>
    </row>
    <row r="77" spans="2:2" x14ac:dyDescent="0.25">
      <c r="B77" s="1"/>
    </row>
    <row r="78" spans="2:2" x14ac:dyDescent="0.25">
      <c r="B78" s="1"/>
    </row>
    <row r="79" spans="2:2" x14ac:dyDescent="0.25">
      <c r="B79" s="1"/>
    </row>
    <row r="80" spans="2:2" x14ac:dyDescent="0.25">
      <c r="B80" s="1"/>
    </row>
    <row r="81" spans="2:2" x14ac:dyDescent="0.25">
      <c r="B81" s="1"/>
    </row>
    <row r="82" spans="2:2" x14ac:dyDescent="0.25">
      <c r="B82" s="1"/>
    </row>
    <row r="83" spans="2:2" x14ac:dyDescent="0.25">
      <c r="B83" s="1"/>
    </row>
    <row r="84" spans="2:2" x14ac:dyDescent="0.25">
      <c r="B84" s="1"/>
    </row>
    <row r="85" spans="2:2" x14ac:dyDescent="0.25">
      <c r="B85" s="1"/>
    </row>
    <row r="86" spans="2:2" x14ac:dyDescent="0.25">
      <c r="B86" s="1"/>
    </row>
    <row r="87" spans="2:2" x14ac:dyDescent="0.25">
      <c r="B87" s="1"/>
    </row>
    <row r="88" spans="2:2" x14ac:dyDescent="0.25">
      <c r="B88" s="1"/>
    </row>
    <row r="89" spans="2:2" x14ac:dyDescent="0.25">
      <c r="B89" s="1"/>
    </row>
    <row r="90" spans="2:2" x14ac:dyDescent="0.25">
      <c r="B90" s="1"/>
    </row>
    <row r="91" spans="2:2" x14ac:dyDescent="0.25">
      <c r="B91" s="1"/>
    </row>
    <row r="92" spans="2:2" x14ac:dyDescent="0.25">
      <c r="B92" s="1"/>
    </row>
    <row r="93" spans="2:2" x14ac:dyDescent="0.25">
      <c r="B93" s="1"/>
    </row>
    <row r="94" spans="2:2" x14ac:dyDescent="0.25">
      <c r="B94" s="1"/>
    </row>
    <row r="95" spans="2:2" x14ac:dyDescent="0.25">
      <c r="B95" s="1"/>
    </row>
    <row r="96" spans="2:2" x14ac:dyDescent="0.25">
      <c r="B96" s="1"/>
    </row>
    <row r="97" spans="2:2" x14ac:dyDescent="0.25">
      <c r="B97" s="1"/>
    </row>
    <row r="98" spans="2:2" x14ac:dyDescent="0.25">
      <c r="B98" s="1"/>
    </row>
    <row r="99" spans="2:2" x14ac:dyDescent="0.25">
      <c r="B99" s="1"/>
    </row>
    <row r="100" spans="2:2" x14ac:dyDescent="0.25">
      <c r="B100" s="1"/>
    </row>
    <row r="101" spans="2:2" x14ac:dyDescent="0.25">
      <c r="B101" s="1"/>
    </row>
    <row r="102" spans="2:2" x14ac:dyDescent="0.25">
      <c r="B102" s="1"/>
    </row>
    <row r="103" spans="2:2" x14ac:dyDescent="0.25">
      <c r="B103" s="1"/>
    </row>
    <row r="104" spans="2:2" x14ac:dyDescent="0.25">
      <c r="B104" s="1"/>
    </row>
    <row r="105" spans="2:2" x14ac:dyDescent="0.25">
      <c r="B105" s="1"/>
    </row>
    <row r="106" spans="2:2" x14ac:dyDescent="0.25">
      <c r="B106" s="1"/>
    </row>
    <row r="107" spans="2:2" x14ac:dyDescent="0.25">
      <c r="B107" s="1"/>
    </row>
    <row r="108" spans="2:2" x14ac:dyDescent="0.25">
      <c r="B108" s="1"/>
    </row>
    <row r="109" spans="2:2" x14ac:dyDescent="0.25">
      <c r="B109" s="1"/>
    </row>
    <row r="110" spans="2:2" x14ac:dyDescent="0.25">
      <c r="B110" s="1"/>
    </row>
    <row r="111" spans="2:2" x14ac:dyDescent="0.25">
      <c r="B111" s="1"/>
    </row>
    <row r="112" spans="2:2" x14ac:dyDescent="0.25">
      <c r="B112" s="1"/>
    </row>
    <row r="113" spans="2:2" x14ac:dyDescent="0.25">
      <c r="B113" s="1"/>
    </row>
    <row r="114" spans="2:2" x14ac:dyDescent="0.25">
      <c r="B114" s="1"/>
    </row>
    <row r="115" spans="2:2" x14ac:dyDescent="0.25">
      <c r="B115" s="1"/>
    </row>
    <row r="116" spans="2:2" x14ac:dyDescent="0.25">
      <c r="B116" s="1"/>
    </row>
    <row r="117" spans="2:2" x14ac:dyDescent="0.25">
      <c r="B117" s="1"/>
    </row>
    <row r="118" spans="2:2" x14ac:dyDescent="0.25">
      <c r="B118" s="1"/>
    </row>
    <row r="119" spans="2:2" x14ac:dyDescent="0.25">
      <c r="B119" s="1"/>
    </row>
    <row r="120" spans="2:2" x14ac:dyDescent="0.25">
      <c r="B120" s="1"/>
    </row>
    <row r="121" spans="2:2" x14ac:dyDescent="0.25">
      <c r="B121" s="1"/>
    </row>
    <row r="122" spans="2:2" x14ac:dyDescent="0.25">
      <c r="B122" s="1"/>
    </row>
    <row r="123" spans="2:2" x14ac:dyDescent="0.25">
      <c r="B123" s="1"/>
    </row>
    <row r="124" spans="2:2" x14ac:dyDescent="0.25">
      <c r="B124" s="1"/>
    </row>
    <row r="125" spans="2:2" x14ac:dyDescent="0.25">
      <c r="B125" s="1"/>
    </row>
    <row r="126" spans="2:2" x14ac:dyDescent="0.25">
      <c r="B126" s="1"/>
    </row>
    <row r="127" spans="2:2" x14ac:dyDescent="0.25">
      <c r="B127" s="1"/>
    </row>
    <row r="128" spans="2:2" x14ac:dyDescent="0.25">
      <c r="B128" s="1"/>
    </row>
    <row r="129" spans="2:2" x14ac:dyDescent="0.25">
      <c r="B129" s="1"/>
    </row>
    <row r="130" spans="2:2" x14ac:dyDescent="0.25">
      <c r="B130" s="1"/>
    </row>
    <row r="131" spans="2:2" x14ac:dyDescent="0.25">
      <c r="B131" s="1"/>
    </row>
    <row r="132" spans="2:2" x14ac:dyDescent="0.25">
      <c r="B132" s="1"/>
    </row>
    <row r="133" spans="2:2" x14ac:dyDescent="0.25">
      <c r="B133" s="1"/>
    </row>
    <row r="134" spans="2:2" x14ac:dyDescent="0.25">
      <c r="B134" s="1"/>
    </row>
  </sheetData>
  <mergeCells count="7">
    <mergeCell ref="A2:B2"/>
    <mergeCell ref="C2:L42"/>
    <mergeCell ref="A11:B11"/>
    <mergeCell ref="A22:B22"/>
    <mergeCell ref="M24:T24"/>
    <mergeCell ref="M27:T27"/>
    <mergeCell ref="A32:B32"/>
  </mergeCells>
  <pageMargins left="0.511811024" right="0.511811024" top="0.78740157499999996" bottom="0.78740157499999996" header="0.31496062000000002" footer="0.31496062000000002"/>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R35"/>
  <sheetViews>
    <sheetView topLeftCell="A9" workbookViewId="0">
      <selection activeCell="A10" sqref="A10:XFD10"/>
    </sheetView>
  </sheetViews>
  <sheetFormatPr defaultRowHeight="15" x14ac:dyDescent="0.2"/>
  <cols>
    <col min="1" max="1" width="6.42578125" style="24" customWidth="1"/>
    <col min="2" max="2" width="0.28515625" style="24" customWidth="1"/>
    <col min="3" max="3" width="27.7109375" style="24" customWidth="1"/>
    <col min="4" max="4" width="12" style="24" customWidth="1"/>
    <col min="5" max="5" width="8.85546875" style="24" bestFit="1" customWidth="1"/>
    <col min="6" max="6" width="12.140625" style="24" bestFit="1" customWidth="1"/>
    <col min="7" max="7" width="7.5703125" style="24" bestFit="1" customWidth="1"/>
    <col min="8" max="8" width="13.28515625" style="24" bestFit="1" customWidth="1"/>
    <col min="9" max="9" width="9.85546875" style="24" bestFit="1" customWidth="1"/>
    <col min="10" max="10" width="14.7109375" style="412" bestFit="1" customWidth="1"/>
    <col min="11" max="11" width="16.42578125" style="24" bestFit="1" customWidth="1"/>
    <col min="12" max="243" width="9.140625" style="24"/>
    <col min="244" max="244" width="3.28515625" style="24" customWidth="1"/>
    <col min="245" max="245" width="29" style="24" customWidth="1"/>
    <col min="246" max="246" width="14" style="24" customWidth="1"/>
    <col min="247" max="247" width="11.28515625" style="24" customWidth="1"/>
    <col min="248" max="248" width="16.7109375" style="24" customWidth="1"/>
    <col min="249" max="249" width="8.85546875" style="24" customWidth="1"/>
    <col min="250" max="250" width="29" style="24" customWidth="1"/>
    <col min="251" max="499" width="9.140625" style="24"/>
    <col min="500" max="500" width="3.28515625" style="24" customWidth="1"/>
    <col min="501" max="501" width="29" style="24" customWidth="1"/>
    <col min="502" max="502" width="14" style="24" customWidth="1"/>
    <col min="503" max="503" width="11.28515625" style="24" customWidth="1"/>
    <col min="504" max="504" width="16.7109375" style="24" customWidth="1"/>
    <col min="505" max="505" width="8.85546875" style="24" customWidth="1"/>
    <col min="506" max="506" width="29" style="24" customWidth="1"/>
    <col min="507" max="755" width="9.140625" style="24"/>
    <col min="756" max="756" width="3.28515625" style="24" customWidth="1"/>
    <col min="757" max="757" width="29" style="24" customWidth="1"/>
    <col min="758" max="758" width="14" style="24" customWidth="1"/>
    <col min="759" max="759" width="11.28515625" style="24" customWidth="1"/>
    <col min="760" max="760" width="16.7109375" style="24" customWidth="1"/>
    <col min="761" max="761" width="8.85546875" style="24" customWidth="1"/>
    <col min="762" max="762" width="29" style="24" customWidth="1"/>
    <col min="763" max="1011" width="9.140625" style="24"/>
    <col min="1012" max="1012" width="3.28515625" style="24" customWidth="1"/>
    <col min="1013" max="1013" width="29" style="24" customWidth="1"/>
    <col min="1014" max="1014" width="14" style="24" customWidth="1"/>
    <col min="1015" max="1015" width="11.28515625" style="24" customWidth="1"/>
    <col min="1016" max="1016" width="16.7109375" style="24" customWidth="1"/>
    <col min="1017" max="1017" width="8.85546875" style="24" customWidth="1"/>
    <col min="1018" max="1018" width="29" style="24" customWidth="1"/>
    <col min="1019" max="1267" width="9.140625" style="24"/>
    <col min="1268" max="1268" width="3.28515625" style="24" customWidth="1"/>
    <col min="1269" max="1269" width="29" style="24" customWidth="1"/>
    <col min="1270" max="1270" width="14" style="24" customWidth="1"/>
    <col min="1271" max="1271" width="11.28515625" style="24" customWidth="1"/>
    <col min="1272" max="1272" width="16.7109375" style="24" customWidth="1"/>
    <col min="1273" max="1273" width="8.85546875" style="24" customWidth="1"/>
    <col min="1274" max="1274" width="29" style="24" customWidth="1"/>
    <col min="1275" max="1523" width="9.140625" style="24"/>
    <col min="1524" max="1524" width="3.28515625" style="24" customWidth="1"/>
    <col min="1525" max="1525" width="29" style="24" customWidth="1"/>
    <col min="1526" max="1526" width="14" style="24" customWidth="1"/>
    <col min="1527" max="1527" width="11.28515625" style="24" customWidth="1"/>
    <col min="1528" max="1528" width="16.7109375" style="24" customWidth="1"/>
    <col min="1529" max="1529" width="8.85546875" style="24" customWidth="1"/>
    <col min="1530" max="1530" width="29" style="24" customWidth="1"/>
    <col min="1531" max="1779" width="9.140625" style="24"/>
    <col min="1780" max="1780" width="3.28515625" style="24" customWidth="1"/>
    <col min="1781" max="1781" width="29" style="24" customWidth="1"/>
    <col min="1782" max="1782" width="14" style="24" customWidth="1"/>
    <col min="1783" max="1783" width="11.28515625" style="24" customWidth="1"/>
    <col min="1784" max="1784" width="16.7109375" style="24" customWidth="1"/>
    <col min="1785" max="1785" width="8.85546875" style="24" customWidth="1"/>
    <col min="1786" max="1786" width="29" style="24" customWidth="1"/>
    <col min="1787" max="2035" width="9.140625" style="24"/>
    <col min="2036" max="2036" width="3.28515625" style="24" customWidth="1"/>
    <col min="2037" max="2037" width="29" style="24" customWidth="1"/>
    <col min="2038" max="2038" width="14" style="24" customWidth="1"/>
    <col min="2039" max="2039" width="11.28515625" style="24" customWidth="1"/>
    <col min="2040" max="2040" width="16.7109375" style="24" customWidth="1"/>
    <col min="2041" max="2041" width="8.85546875" style="24" customWidth="1"/>
    <col min="2042" max="2042" width="29" style="24" customWidth="1"/>
    <col min="2043" max="2291" width="9.140625" style="24"/>
    <col min="2292" max="2292" width="3.28515625" style="24" customWidth="1"/>
    <col min="2293" max="2293" width="29" style="24" customWidth="1"/>
    <col min="2294" max="2294" width="14" style="24" customWidth="1"/>
    <col min="2295" max="2295" width="11.28515625" style="24" customWidth="1"/>
    <col min="2296" max="2296" width="16.7109375" style="24" customWidth="1"/>
    <col min="2297" max="2297" width="8.85546875" style="24" customWidth="1"/>
    <col min="2298" max="2298" width="29" style="24" customWidth="1"/>
    <col min="2299" max="2547" width="9.140625" style="24"/>
    <col min="2548" max="2548" width="3.28515625" style="24" customWidth="1"/>
    <col min="2549" max="2549" width="29" style="24" customWidth="1"/>
    <col min="2550" max="2550" width="14" style="24" customWidth="1"/>
    <col min="2551" max="2551" width="11.28515625" style="24" customWidth="1"/>
    <col min="2552" max="2552" width="16.7109375" style="24" customWidth="1"/>
    <col min="2553" max="2553" width="8.85546875" style="24" customWidth="1"/>
    <col min="2554" max="2554" width="29" style="24" customWidth="1"/>
    <col min="2555" max="2803" width="9.140625" style="24"/>
    <col min="2804" max="2804" width="3.28515625" style="24" customWidth="1"/>
    <col min="2805" max="2805" width="29" style="24" customWidth="1"/>
    <col min="2806" max="2806" width="14" style="24" customWidth="1"/>
    <col min="2807" max="2807" width="11.28515625" style="24" customWidth="1"/>
    <col min="2808" max="2808" width="16.7109375" style="24" customWidth="1"/>
    <col min="2809" max="2809" width="8.85546875" style="24" customWidth="1"/>
    <col min="2810" max="2810" width="29" style="24" customWidth="1"/>
    <col min="2811" max="3059" width="9.140625" style="24"/>
    <col min="3060" max="3060" width="3.28515625" style="24" customWidth="1"/>
    <col min="3061" max="3061" width="29" style="24" customWidth="1"/>
    <col min="3062" max="3062" width="14" style="24" customWidth="1"/>
    <col min="3063" max="3063" width="11.28515625" style="24" customWidth="1"/>
    <col min="3064" max="3064" width="16.7109375" style="24" customWidth="1"/>
    <col min="3065" max="3065" width="8.85546875" style="24" customWidth="1"/>
    <col min="3066" max="3066" width="29" style="24" customWidth="1"/>
    <col min="3067" max="3315" width="9.140625" style="24"/>
    <col min="3316" max="3316" width="3.28515625" style="24" customWidth="1"/>
    <col min="3317" max="3317" width="29" style="24" customWidth="1"/>
    <col min="3318" max="3318" width="14" style="24" customWidth="1"/>
    <col min="3319" max="3319" width="11.28515625" style="24" customWidth="1"/>
    <col min="3320" max="3320" width="16.7109375" style="24" customWidth="1"/>
    <col min="3321" max="3321" width="8.85546875" style="24" customWidth="1"/>
    <col min="3322" max="3322" width="29" style="24" customWidth="1"/>
    <col min="3323" max="3571" width="9.140625" style="24"/>
    <col min="3572" max="3572" width="3.28515625" style="24" customWidth="1"/>
    <col min="3573" max="3573" width="29" style="24" customWidth="1"/>
    <col min="3574" max="3574" width="14" style="24" customWidth="1"/>
    <col min="3575" max="3575" width="11.28515625" style="24" customWidth="1"/>
    <col min="3576" max="3576" width="16.7109375" style="24" customWidth="1"/>
    <col min="3577" max="3577" width="8.85546875" style="24" customWidth="1"/>
    <col min="3578" max="3578" width="29" style="24" customWidth="1"/>
    <col min="3579" max="3827" width="9.140625" style="24"/>
    <col min="3828" max="3828" width="3.28515625" style="24" customWidth="1"/>
    <col min="3829" max="3829" width="29" style="24" customWidth="1"/>
    <col min="3830" max="3830" width="14" style="24" customWidth="1"/>
    <col min="3831" max="3831" width="11.28515625" style="24" customWidth="1"/>
    <col min="3832" max="3832" width="16.7109375" style="24" customWidth="1"/>
    <col min="3833" max="3833" width="8.85546875" style="24" customWidth="1"/>
    <col min="3834" max="3834" width="29" style="24" customWidth="1"/>
    <col min="3835" max="4083" width="9.140625" style="24"/>
    <col min="4084" max="4084" width="3.28515625" style="24" customWidth="1"/>
    <col min="4085" max="4085" width="29" style="24" customWidth="1"/>
    <col min="4086" max="4086" width="14" style="24" customWidth="1"/>
    <col min="4087" max="4087" width="11.28515625" style="24" customWidth="1"/>
    <col min="4088" max="4088" width="16.7109375" style="24" customWidth="1"/>
    <col min="4089" max="4089" width="8.85546875" style="24" customWidth="1"/>
    <col min="4090" max="4090" width="29" style="24" customWidth="1"/>
    <col min="4091" max="4339" width="9.140625" style="24"/>
    <col min="4340" max="4340" width="3.28515625" style="24" customWidth="1"/>
    <col min="4341" max="4341" width="29" style="24" customWidth="1"/>
    <col min="4342" max="4342" width="14" style="24" customWidth="1"/>
    <col min="4343" max="4343" width="11.28515625" style="24" customWidth="1"/>
    <col min="4344" max="4344" width="16.7109375" style="24" customWidth="1"/>
    <col min="4345" max="4345" width="8.85546875" style="24" customWidth="1"/>
    <col min="4346" max="4346" width="29" style="24" customWidth="1"/>
    <col min="4347" max="4595" width="9.140625" style="24"/>
    <col min="4596" max="4596" width="3.28515625" style="24" customWidth="1"/>
    <col min="4597" max="4597" width="29" style="24" customWidth="1"/>
    <col min="4598" max="4598" width="14" style="24" customWidth="1"/>
    <col min="4599" max="4599" width="11.28515625" style="24" customWidth="1"/>
    <col min="4600" max="4600" width="16.7109375" style="24" customWidth="1"/>
    <col min="4601" max="4601" width="8.85546875" style="24" customWidth="1"/>
    <col min="4602" max="4602" width="29" style="24" customWidth="1"/>
    <col min="4603" max="4851" width="9.140625" style="24"/>
    <col min="4852" max="4852" width="3.28515625" style="24" customWidth="1"/>
    <col min="4853" max="4853" width="29" style="24" customWidth="1"/>
    <col min="4854" max="4854" width="14" style="24" customWidth="1"/>
    <col min="4855" max="4855" width="11.28515625" style="24" customWidth="1"/>
    <col min="4856" max="4856" width="16.7109375" style="24" customWidth="1"/>
    <col min="4857" max="4857" width="8.85546875" style="24" customWidth="1"/>
    <col min="4858" max="4858" width="29" style="24" customWidth="1"/>
    <col min="4859" max="5107" width="9.140625" style="24"/>
    <col min="5108" max="5108" width="3.28515625" style="24" customWidth="1"/>
    <col min="5109" max="5109" width="29" style="24" customWidth="1"/>
    <col min="5110" max="5110" width="14" style="24" customWidth="1"/>
    <col min="5111" max="5111" width="11.28515625" style="24" customWidth="1"/>
    <col min="5112" max="5112" width="16.7109375" style="24" customWidth="1"/>
    <col min="5113" max="5113" width="8.85546875" style="24" customWidth="1"/>
    <col min="5114" max="5114" width="29" style="24" customWidth="1"/>
    <col min="5115" max="5363" width="9.140625" style="24"/>
    <col min="5364" max="5364" width="3.28515625" style="24" customWidth="1"/>
    <col min="5365" max="5365" width="29" style="24" customWidth="1"/>
    <col min="5366" max="5366" width="14" style="24" customWidth="1"/>
    <col min="5367" max="5367" width="11.28515625" style="24" customWidth="1"/>
    <col min="5368" max="5368" width="16.7109375" style="24" customWidth="1"/>
    <col min="5369" max="5369" width="8.85546875" style="24" customWidth="1"/>
    <col min="5370" max="5370" width="29" style="24" customWidth="1"/>
    <col min="5371" max="5619" width="9.140625" style="24"/>
    <col min="5620" max="5620" width="3.28515625" style="24" customWidth="1"/>
    <col min="5621" max="5621" width="29" style="24" customWidth="1"/>
    <col min="5622" max="5622" width="14" style="24" customWidth="1"/>
    <col min="5623" max="5623" width="11.28515625" style="24" customWidth="1"/>
    <col min="5624" max="5624" width="16.7109375" style="24" customWidth="1"/>
    <col min="5625" max="5625" width="8.85546875" style="24" customWidth="1"/>
    <col min="5626" max="5626" width="29" style="24" customWidth="1"/>
    <col min="5627" max="5875" width="9.140625" style="24"/>
    <col min="5876" max="5876" width="3.28515625" style="24" customWidth="1"/>
    <col min="5877" max="5877" width="29" style="24" customWidth="1"/>
    <col min="5878" max="5878" width="14" style="24" customWidth="1"/>
    <col min="5879" max="5879" width="11.28515625" style="24" customWidth="1"/>
    <col min="5880" max="5880" width="16.7109375" style="24" customWidth="1"/>
    <col min="5881" max="5881" width="8.85546875" style="24" customWidth="1"/>
    <col min="5882" max="5882" width="29" style="24" customWidth="1"/>
    <col min="5883" max="6131" width="9.140625" style="24"/>
    <col min="6132" max="6132" width="3.28515625" style="24" customWidth="1"/>
    <col min="6133" max="6133" width="29" style="24" customWidth="1"/>
    <col min="6134" max="6134" width="14" style="24" customWidth="1"/>
    <col min="6135" max="6135" width="11.28515625" style="24" customWidth="1"/>
    <col min="6136" max="6136" width="16.7109375" style="24" customWidth="1"/>
    <col min="6137" max="6137" width="8.85546875" style="24" customWidth="1"/>
    <col min="6138" max="6138" width="29" style="24" customWidth="1"/>
    <col min="6139" max="6387" width="9.140625" style="24"/>
    <col min="6388" max="6388" width="3.28515625" style="24" customWidth="1"/>
    <col min="6389" max="6389" width="29" style="24" customWidth="1"/>
    <col min="6390" max="6390" width="14" style="24" customWidth="1"/>
    <col min="6391" max="6391" width="11.28515625" style="24" customWidth="1"/>
    <col min="6392" max="6392" width="16.7109375" style="24" customWidth="1"/>
    <col min="6393" max="6393" width="8.85546875" style="24" customWidth="1"/>
    <col min="6394" max="6394" width="29" style="24" customWidth="1"/>
    <col min="6395" max="6643" width="9.140625" style="24"/>
    <col min="6644" max="6644" width="3.28515625" style="24" customWidth="1"/>
    <col min="6645" max="6645" width="29" style="24" customWidth="1"/>
    <col min="6646" max="6646" width="14" style="24" customWidth="1"/>
    <col min="6647" max="6647" width="11.28515625" style="24" customWidth="1"/>
    <col min="6648" max="6648" width="16.7109375" style="24" customWidth="1"/>
    <col min="6649" max="6649" width="8.85546875" style="24" customWidth="1"/>
    <col min="6650" max="6650" width="29" style="24" customWidth="1"/>
    <col min="6651" max="6899" width="9.140625" style="24"/>
    <col min="6900" max="6900" width="3.28515625" style="24" customWidth="1"/>
    <col min="6901" max="6901" width="29" style="24" customWidth="1"/>
    <col min="6902" max="6902" width="14" style="24" customWidth="1"/>
    <col min="6903" max="6903" width="11.28515625" style="24" customWidth="1"/>
    <col min="6904" max="6904" width="16.7109375" style="24" customWidth="1"/>
    <col min="6905" max="6905" width="8.85546875" style="24" customWidth="1"/>
    <col min="6906" max="6906" width="29" style="24" customWidth="1"/>
    <col min="6907" max="7155" width="9.140625" style="24"/>
    <col min="7156" max="7156" width="3.28515625" style="24" customWidth="1"/>
    <col min="7157" max="7157" width="29" style="24" customWidth="1"/>
    <col min="7158" max="7158" width="14" style="24" customWidth="1"/>
    <col min="7159" max="7159" width="11.28515625" style="24" customWidth="1"/>
    <col min="7160" max="7160" width="16.7109375" style="24" customWidth="1"/>
    <col min="7161" max="7161" width="8.85546875" style="24" customWidth="1"/>
    <col min="7162" max="7162" width="29" style="24" customWidth="1"/>
    <col min="7163" max="7411" width="9.140625" style="24"/>
    <col min="7412" max="7412" width="3.28515625" style="24" customWidth="1"/>
    <col min="7413" max="7413" width="29" style="24" customWidth="1"/>
    <col min="7414" max="7414" width="14" style="24" customWidth="1"/>
    <col min="7415" max="7415" width="11.28515625" style="24" customWidth="1"/>
    <col min="7416" max="7416" width="16.7109375" style="24" customWidth="1"/>
    <col min="7417" max="7417" width="8.85546875" style="24" customWidth="1"/>
    <col min="7418" max="7418" width="29" style="24" customWidth="1"/>
    <col min="7419" max="7667" width="9.140625" style="24"/>
    <col min="7668" max="7668" width="3.28515625" style="24" customWidth="1"/>
    <col min="7669" max="7669" width="29" style="24" customWidth="1"/>
    <col min="7670" max="7670" width="14" style="24" customWidth="1"/>
    <col min="7671" max="7671" width="11.28515625" style="24" customWidth="1"/>
    <col min="7672" max="7672" width="16.7109375" style="24" customWidth="1"/>
    <col min="7673" max="7673" width="8.85546875" style="24" customWidth="1"/>
    <col min="7674" max="7674" width="29" style="24" customWidth="1"/>
    <col min="7675" max="7923" width="9.140625" style="24"/>
    <col min="7924" max="7924" width="3.28515625" style="24" customWidth="1"/>
    <col min="7925" max="7925" width="29" style="24" customWidth="1"/>
    <col min="7926" max="7926" width="14" style="24" customWidth="1"/>
    <col min="7927" max="7927" width="11.28515625" style="24" customWidth="1"/>
    <col min="7928" max="7928" width="16.7109375" style="24" customWidth="1"/>
    <col min="7929" max="7929" width="8.85546875" style="24" customWidth="1"/>
    <col min="7930" max="7930" width="29" style="24" customWidth="1"/>
    <col min="7931" max="8179" width="9.140625" style="24"/>
    <col min="8180" max="8180" width="3.28515625" style="24" customWidth="1"/>
    <col min="8181" max="8181" width="29" style="24" customWidth="1"/>
    <col min="8182" max="8182" width="14" style="24" customWidth="1"/>
    <col min="8183" max="8183" width="11.28515625" style="24" customWidth="1"/>
    <col min="8184" max="8184" width="16.7109375" style="24" customWidth="1"/>
    <col min="8185" max="8185" width="8.85546875" style="24" customWidth="1"/>
    <col min="8186" max="8186" width="29" style="24" customWidth="1"/>
    <col min="8187" max="8435" width="9.140625" style="24"/>
    <col min="8436" max="8436" width="3.28515625" style="24" customWidth="1"/>
    <col min="8437" max="8437" width="29" style="24" customWidth="1"/>
    <col min="8438" max="8438" width="14" style="24" customWidth="1"/>
    <col min="8439" max="8439" width="11.28515625" style="24" customWidth="1"/>
    <col min="8440" max="8440" width="16.7109375" style="24" customWidth="1"/>
    <col min="8441" max="8441" width="8.85546875" style="24" customWidth="1"/>
    <col min="8442" max="8442" width="29" style="24" customWidth="1"/>
    <col min="8443" max="8691" width="9.140625" style="24"/>
    <col min="8692" max="8692" width="3.28515625" style="24" customWidth="1"/>
    <col min="8693" max="8693" width="29" style="24" customWidth="1"/>
    <col min="8694" max="8694" width="14" style="24" customWidth="1"/>
    <col min="8695" max="8695" width="11.28515625" style="24" customWidth="1"/>
    <col min="8696" max="8696" width="16.7109375" style="24" customWidth="1"/>
    <col min="8697" max="8697" width="8.85546875" style="24" customWidth="1"/>
    <col min="8698" max="8698" width="29" style="24" customWidth="1"/>
    <col min="8699" max="8947" width="9.140625" style="24"/>
    <col min="8948" max="8948" width="3.28515625" style="24" customWidth="1"/>
    <col min="8949" max="8949" width="29" style="24" customWidth="1"/>
    <col min="8950" max="8950" width="14" style="24" customWidth="1"/>
    <col min="8951" max="8951" width="11.28515625" style="24" customWidth="1"/>
    <col min="8952" max="8952" width="16.7109375" style="24" customWidth="1"/>
    <col min="8953" max="8953" width="8.85546875" style="24" customWidth="1"/>
    <col min="8954" max="8954" width="29" style="24" customWidth="1"/>
    <col min="8955" max="9203" width="9.140625" style="24"/>
    <col min="9204" max="9204" width="3.28515625" style="24" customWidth="1"/>
    <col min="9205" max="9205" width="29" style="24" customWidth="1"/>
    <col min="9206" max="9206" width="14" style="24" customWidth="1"/>
    <col min="9207" max="9207" width="11.28515625" style="24" customWidth="1"/>
    <col min="9208" max="9208" width="16.7109375" style="24" customWidth="1"/>
    <col min="9209" max="9209" width="8.85546875" style="24" customWidth="1"/>
    <col min="9210" max="9210" width="29" style="24" customWidth="1"/>
    <col min="9211" max="9459" width="9.140625" style="24"/>
    <col min="9460" max="9460" width="3.28515625" style="24" customWidth="1"/>
    <col min="9461" max="9461" width="29" style="24" customWidth="1"/>
    <col min="9462" max="9462" width="14" style="24" customWidth="1"/>
    <col min="9463" max="9463" width="11.28515625" style="24" customWidth="1"/>
    <col min="9464" max="9464" width="16.7109375" style="24" customWidth="1"/>
    <col min="9465" max="9465" width="8.85546875" style="24" customWidth="1"/>
    <col min="9466" max="9466" width="29" style="24" customWidth="1"/>
    <col min="9467" max="9715" width="9.140625" style="24"/>
    <col min="9716" max="9716" width="3.28515625" style="24" customWidth="1"/>
    <col min="9717" max="9717" width="29" style="24" customWidth="1"/>
    <col min="9718" max="9718" width="14" style="24" customWidth="1"/>
    <col min="9719" max="9719" width="11.28515625" style="24" customWidth="1"/>
    <col min="9720" max="9720" width="16.7109375" style="24" customWidth="1"/>
    <col min="9721" max="9721" width="8.85546875" style="24" customWidth="1"/>
    <col min="9722" max="9722" width="29" style="24" customWidth="1"/>
    <col min="9723" max="9971" width="9.140625" style="24"/>
    <col min="9972" max="9972" width="3.28515625" style="24" customWidth="1"/>
    <col min="9973" max="9973" width="29" style="24" customWidth="1"/>
    <col min="9974" max="9974" width="14" style="24" customWidth="1"/>
    <col min="9975" max="9975" width="11.28515625" style="24" customWidth="1"/>
    <col min="9976" max="9976" width="16.7109375" style="24" customWidth="1"/>
    <col min="9977" max="9977" width="8.85546875" style="24" customWidth="1"/>
    <col min="9978" max="9978" width="29" style="24" customWidth="1"/>
    <col min="9979" max="10227" width="9.140625" style="24"/>
    <col min="10228" max="10228" width="3.28515625" style="24" customWidth="1"/>
    <col min="10229" max="10229" width="29" style="24" customWidth="1"/>
    <col min="10230" max="10230" width="14" style="24" customWidth="1"/>
    <col min="10231" max="10231" width="11.28515625" style="24" customWidth="1"/>
    <col min="10232" max="10232" width="16.7109375" style="24" customWidth="1"/>
    <col min="10233" max="10233" width="8.85546875" style="24" customWidth="1"/>
    <col min="10234" max="10234" width="29" style="24" customWidth="1"/>
    <col min="10235" max="10483" width="9.140625" style="24"/>
    <col min="10484" max="10484" width="3.28515625" style="24" customWidth="1"/>
    <col min="10485" max="10485" width="29" style="24" customWidth="1"/>
    <col min="10486" max="10486" width="14" style="24" customWidth="1"/>
    <col min="10487" max="10487" width="11.28515625" style="24" customWidth="1"/>
    <col min="10488" max="10488" width="16.7109375" style="24" customWidth="1"/>
    <col min="10489" max="10489" width="8.85546875" style="24" customWidth="1"/>
    <col min="10490" max="10490" width="29" style="24" customWidth="1"/>
    <col min="10491" max="10739" width="9.140625" style="24"/>
    <col min="10740" max="10740" width="3.28515625" style="24" customWidth="1"/>
    <col min="10741" max="10741" width="29" style="24" customWidth="1"/>
    <col min="10742" max="10742" width="14" style="24" customWidth="1"/>
    <col min="10743" max="10743" width="11.28515625" style="24" customWidth="1"/>
    <col min="10744" max="10744" width="16.7109375" style="24" customWidth="1"/>
    <col min="10745" max="10745" width="8.85546875" style="24" customWidth="1"/>
    <col min="10746" max="10746" width="29" style="24" customWidth="1"/>
    <col min="10747" max="10995" width="9.140625" style="24"/>
    <col min="10996" max="10996" width="3.28515625" style="24" customWidth="1"/>
    <col min="10997" max="10997" width="29" style="24" customWidth="1"/>
    <col min="10998" max="10998" width="14" style="24" customWidth="1"/>
    <col min="10999" max="10999" width="11.28515625" style="24" customWidth="1"/>
    <col min="11000" max="11000" width="16.7109375" style="24" customWidth="1"/>
    <col min="11001" max="11001" width="8.85546875" style="24" customWidth="1"/>
    <col min="11002" max="11002" width="29" style="24" customWidth="1"/>
    <col min="11003" max="11251" width="9.140625" style="24"/>
    <col min="11252" max="11252" width="3.28515625" style="24" customWidth="1"/>
    <col min="11253" max="11253" width="29" style="24" customWidth="1"/>
    <col min="11254" max="11254" width="14" style="24" customWidth="1"/>
    <col min="11255" max="11255" width="11.28515625" style="24" customWidth="1"/>
    <col min="11256" max="11256" width="16.7109375" style="24" customWidth="1"/>
    <col min="11257" max="11257" width="8.85546875" style="24" customWidth="1"/>
    <col min="11258" max="11258" width="29" style="24" customWidth="1"/>
    <col min="11259" max="11507" width="9.140625" style="24"/>
    <col min="11508" max="11508" width="3.28515625" style="24" customWidth="1"/>
    <col min="11509" max="11509" width="29" style="24" customWidth="1"/>
    <col min="11510" max="11510" width="14" style="24" customWidth="1"/>
    <col min="11511" max="11511" width="11.28515625" style="24" customWidth="1"/>
    <col min="11512" max="11512" width="16.7109375" style="24" customWidth="1"/>
    <col min="11513" max="11513" width="8.85546875" style="24" customWidth="1"/>
    <col min="11514" max="11514" width="29" style="24" customWidth="1"/>
    <col min="11515" max="11763" width="9.140625" style="24"/>
    <col min="11764" max="11764" width="3.28515625" style="24" customWidth="1"/>
    <col min="11765" max="11765" width="29" style="24" customWidth="1"/>
    <col min="11766" max="11766" width="14" style="24" customWidth="1"/>
    <col min="11767" max="11767" width="11.28515625" style="24" customWidth="1"/>
    <col min="11768" max="11768" width="16.7109375" style="24" customWidth="1"/>
    <col min="11769" max="11769" width="8.85546875" style="24" customWidth="1"/>
    <col min="11770" max="11770" width="29" style="24" customWidth="1"/>
    <col min="11771" max="12019" width="9.140625" style="24"/>
    <col min="12020" max="12020" width="3.28515625" style="24" customWidth="1"/>
    <col min="12021" max="12021" width="29" style="24" customWidth="1"/>
    <col min="12022" max="12022" width="14" style="24" customWidth="1"/>
    <col min="12023" max="12023" width="11.28515625" style="24" customWidth="1"/>
    <col min="12024" max="12024" width="16.7109375" style="24" customWidth="1"/>
    <col min="12025" max="12025" width="8.85546875" style="24" customWidth="1"/>
    <col min="12026" max="12026" width="29" style="24" customWidth="1"/>
    <col min="12027" max="12275" width="9.140625" style="24"/>
    <col min="12276" max="12276" width="3.28515625" style="24" customWidth="1"/>
    <col min="12277" max="12277" width="29" style="24" customWidth="1"/>
    <col min="12278" max="12278" width="14" style="24" customWidth="1"/>
    <col min="12279" max="12279" width="11.28515625" style="24" customWidth="1"/>
    <col min="12280" max="12280" width="16.7109375" style="24" customWidth="1"/>
    <col min="12281" max="12281" width="8.85546875" style="24" customWidth="1"/>
    <col min="12282" max="12282" width="29" style="24" customWidth="1"/>
    <col min="12283" max="12531" width="9.140625" style="24"/>
    <col min="12532" max="12532" width="3.28515625" style="24" customWidth="1"/>
    <col min="12533" max="12533" width="29" style="24" customWidth="1"/>
    <col min="12534" max="12534" width="14" style="24" customWidth="1"/>
    <col min="12535" max="12535" width="11.28515625" style="24" customWidth="1"/>
    <col min="12536" max="12536" width="16.7109375" style="24" customWidth="1"/>
    <col min="12537" max="12537" width="8.85546875" style="24" customWidth="1"/>
    <col min="12538" max="12538" width="29" style="24" customWidth="1"/>
    <col min="12539" max="12787" width="9.140625" style="24"/>
    <col min="12788" max="12788" width="3.28515625" style="24" customWidth="1"/>
    <col min="12789" max="12789" width="29" style="24" customWidth="1"/>
    <col min="12790" max="12790" width="14" style="24" customWidth="1"/>
    <col min="12791" max="12791" width="11.28515625" style="24" customWidth="1"/>
    <col min="12792" max="12792" width="16.7109375" style="24" customWidth="1"/>
    <col min="12793" max="12793" width="8.85546875" style="24" customWidth="1"/>
    <col min="12794" max="12794" width="29" style="24" customWidth="1"/>
    <col min="12795" max="13043" width="9.140625" style="24"/>
    <col min="13044" max="13044" width="3.28515625" style="24" customWidth="1"/>
    <col min="13045" max="13045" width="29" style="24" customWidth="1"/>
    <col min="13046" max="13046" width="14" style="24" customWidth="1"/>
    <col min="13047" max="13047" width="11.28515625" style="24" customWidth="1"/>
    <col min="13048" max="13048" width="16.7109375" style="24" customWidth="1"/>
    <col min="13049" max="13049" width="8.85546875" style="24" customWidth="1"/>
    <col min="13050" max="13050" width="29" style="24" customWidth="1"/>
    <col min="13051" max="13299" width="9.140625" style="24"/>
    <col min="13300" max="13300" width="3.28515625" style="24" customWidth="1"/>
    <col min="13301" max="13301" width="29" style="24" customWidth="1"/>
    <col min="13302" max="13302" width="14" style="24" customWidth="1"/>
    <col min="13303" max="13303" width="11.28515625" style="24" customWidth="1"/>
    <col min="13304" max="13304" width="16.7109375" style="24" customWidth="1"/>
    <col min="13305" max="13305" width="8.85546875" style="24" customWidth="1"/>
    <col min="13306" max="13306" width="29" style="24" customWidth="1"/>
    <col min="13307" max="13555" width="9.140625" style="24"/>
    <col min="13556" max="13556" width="3.28515625" style="24" customWidth="1"/>
    <col min="13557" max="13557" width="29" style="24" customWidth="1"/>
    <col min="13558" max="13558" width="14" style="24" customWidth="1"/>
    <col min="13559" max="13559" width="11.28515625" style="24" customWidth="1"/>
    <col min="13560" max="13560" width="16.7109375" style="24" customWidth="1"/>
    <col min="13561" max="13561" width="8.85546875" style="24" customWidth="1"/>
    <col min="13562" max="13562" width="29" style="24" customWidth="1"/>
    <col min="13563" max="13811" width="9.140625" style="24"/>
    <col min="13812" max="13812" width="3.28515625" style="24" customWidth="1"/>
    <col min="13813" max="13813" width="29" style="24" customWidth="1"/>
    <col min="13814" max="13814" width="14" style="24" customWidth="1"/>
    <col min="13815" max="13815" width="11.28515625" style="24" customWidth="1"/>
    <col min="13816" max="13816" width="16.7109375" style="24" customWidth="1"/>
    <col min="13817" max="13817" width="8.85546875" style="24" customWidth="1"/>
    <col min="13818" max="13818" width="29" style="24" customWidth="1"/>
    <col min="13819" max="14067" width="9.140625" style="24"/>
    <col min="14068" max="14068" width="3.28515625" style="24" customWidth="1"/>
    <col min="14069" max="14069" width="29" style="24" customWidth="1"/>
    <col min="14070" max="14070" width="14" style="24" customWidth="1"/>
    <col min="14071" max="14071" width="11.28515625" style="24" customWidth="1"/>
    <col min="14072" max="14072" width="16.7109375" style="24" customWidth="1"/>
    <col min="14073" max="14073" width="8.85546875" style="24" customWidth="1"/>
    <col min="14074" max="14074" width="29" style="24" customWidth="1"/>
    <col min="14075" max="14323" width="9.140625" style="24"/>
    <col min="14324" max="14324" width="3.28515625" style="24" customWidth="1"/>
    <col min="14325" max="14325" width="29" style="24" customWidth="1"/>
    <col min="14326" max="14326" width="14" style="24" customWidth="1"/>
    <col min="14327" max="14327" width="11.28515625" style="24" customWidth="1"/>
    <col min="14328" max="14328" width="16.7109375" style="24" customWidth="1"/>
    <col min="14329" max="14329" width="8.85546875" style="24" customWidth="1"/>
    <col min="14330" max="14330" width="29" style="24" customWidth="1"/>
    <col min="14331" max="14579" width="9.140625" style="24"/>
    <col min="14580" max="14580" width="3.28515625" style="24" customWidth="1"/>
    <col min="14581" max="14581" width="29" style="24" customWidth="1"/>
    <col min="14582" max="14582" width="14" style="24" customWidth="1"/>
    <col min="14583" max="14583" width="11.28515625" style="24" customWidth="1"/>
    <col min="14584" max="14584" width="16.7109375" style="24" customWidth="1"/>
    <col min="14585" max="14585" width="8.85546875" style="24" customWidth="1"/>
    <col min="14586" max="14586" width="29" style="24" customWidth="1"/>
    <col min="14587" max="14835" width="9.140625" style="24"/>
    <col min="14836" max="14836" width="3.28515625" style="24" customWidth="1"/>
    <col min="14837" max="14837" width="29" style="24" customWidth="1"/>
    <col min="14838" max="14838" width="14" style="24" customWidth="1"/>
    <col min="14839" max="14839" width="11.28515625" style="24" customWidth="1"/>
    <col min="14840" max="14840" width="16.7109375" style="24" customWidth="1"/>
    <col min="14841" max="14841" width="8.85546875" style="24" customWidth="1"/>
    <col min="14842" max="14842" width="29" style="24" customWidth="1"/>
    <col min="14843" max="15091" width="9.140625" style="24"/>
    <col min="15092" max="15092" width="3.28515625" style="24" customWidth="1"/>
    <col min="15093" max="15093" width="29" style="24" customWidth="1"/>
    <col min="15094" max="15094" width="14" style="24" customWidth="1"/>
    <col min="15095" max="15095" width="11.28515625" style="24" customWidth="1"/>
    <col min="15096" max="15096" width="16.7109375" style="24" customWidth="1"/>
    <col min="15097" max="15097" width="8.85546875" style="24" customWidth="1"/>
    <col min="15098" max="15098" width="29" style="24" customWidth="1"/>
    <col min="15099" max="15347" width="9.140625" style="24"/>
    <col min="15348" max="15348" width="3.28515625" style="24" customWidth="1"/>
    <col min="15349" max="15349" width="29" style="24" customWidth="1"/>
    <col min="15350" max="15350" width="14" style="24" customWidth="1"/>
    <col min="15351" max="15351" width="11.28515625" style="24" customWidth="1"/>
    <col min="15352" max="15352" width="16.7109375" style="24" customWidth="1"/>
    <col min="15353" max="15353" width="8.85546875" style="24" customWidth="1"/>
    <col min="15354" max="15354" width="29" style="24" customWidth="1"/>
    <col min="15355" max="15603" width="9.140625" style="24"/>
    <col min="15604" max="15604" width="3.28515625" style="24" customWidth="1"/>
    <col min="15605" max="15605" width="29" style="24" customWidth="1"/>
    <col min="15606" max="15606" width="14" style="24" customWidth="1"/>
    <col min="15607" max="15607" width="11.28515625" style="24" customWidth="1"/>
    <col min="15608" max="15608" width="16.7109375" style="24" customWidth="1"/>
    <col min="15609" max="15609" width="8.85546875" style="24" customWidth="1"/>
    <col min="15610" max="15610" width="29" style="24" customWidth="1"/>
    <col min="15611" max="15859" width="9.140625" style="24"/>
    <col min="15860" max="15860" width="3.28515625" style="24" customWidth="1"/>
    <col min="15861" max="15861" width="29" style="24" customWidth="1"/>
    <col min="15862" max="15862" width="14" style="24" customWidth="1"/>
    <col min="15863" max="15863" width="11.28515625" style="24" customWidth="1"/>
    <col min="15864" max="15864" width="16.7109375" style="24" customWidth="1"/>
    <col min="15865" max="15865" width="8.85546875" style="24" customWidth="1"/>
    <col min="15866" max="15866" width="29" style="24" customWidth="1"/>
    <col min="15867" max="16115" width="9.140625" style="24"/>
    <col min="16116" max="16116" width="3.28515625" style="24" customWidth="1"/>
    <col min="16117" max="16117" width="29" style="24" customWidth="1"/>
    <col min="16118" max="16118" width="14" style="24" customWidth="1"/>
    <col min="16119" max="16119" width="11.28515625" style="24" customWidth="1"/>
    <col min="16120" max="16120" width="16.7109375" style="24" customWidth="1"/>
    <col min="16121" max="16121" width="8.85546875" style="24" customWidth="1"/>
    <col min="16122" max="16122" width="29" style="24" customWidth="1"/>
    <col min="16123" max="16384" width="9.140625" style="24"/>
  </cols>
  <sheetData>
    <row r="1" spans="1:243" ht="15.75" x14ac:dyDescent="0.2">
      <c r="C1" s="131"/>
      <c r="D1" s="131"/>
      <c r="E1" s="131"/>
      <c r="F1" s="131"/>
      <c r="G1" s="131"/>
      <c r="H1" s="131"/>
      <c r="I1" s="131"/>
      <c r="J1" s="408"/>
    </row>
    <row r="2" spans="1:243" ht="23.25" x14ac:dyDescent="0.2">
      <c r="A2" s="188"/>
      <c r="B2" s="188"/>
      <c r="C2" s="448" t="s">
        <v>172</v>
      </c>
      <c r="D2" s="448"/>
      <c r="E2" s="448"/>
      <c r="F2" s="448"/>
      <c r="G2" s="448"/>
      <c r="H2" s="448"/>
      <c r="I2" s="448"/>
      <c r="J2" s="448"/>
    </row>
    <row r="3" spans="1:243" ht="15.75" x14ac:dyDescent="0.2">
      <c r="A3" s="188"/>
      <c r="B3" s="188"/>
      <c r="C3" s="131"/>
      <c r="D3" s="188"/>
      <c r="E3" s="188"/>
      <c r="F3" s="188"/>
      <c r="G3" s="188"/>
      <c r="H3" s="188"/>
      <c r="I3" s="131"/>
      <c r="J3" s="408"/>
    </row>
    <row r="4" spans="1:243" ht="21" customHeight="1" x14ac:dyDescent="0.2">
      <c r="A4" s="188"/>
      <c r="B4" s="188"/>
      <c r="C4" s="131"/>
      <c r="D4" s="188"/>
      <c r="E4" s="188"/>
      <c r="F4" s="188"/>
      <c r="G4" s="188"/>
      <c r="H4" s="188"/>
      <c r="I4" s="131"/>
      <c r="J4" s="408"/>
    </row>
    <row r="5" spans="1:243" ht="15.75" x14ac:dyDescent="0.25">
      <c r="A5" s="351" t="s">
        <v>178</v>
      </c>
      <c r="B5" s="351"/>
      <c r="C5" s="351"/>
      <c r="D5" s="351"/>
      <c r="E5" s="351"/>
      <c r="F5" s="351"/>
      <c r="G5" s="351"/>
      <c r="H5" s="519" t="s">
        <v>501</v>
      </c>
      <c r="I5" s="519"/>
      <c r="J5" s="519"/>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c r="BA5" s="105"/>
      <c r="BB5" s="105"/>
      <c r="BC5" s="105"/>
      <c r="BD5" s="105"/>
      <c r="BE5" s="105"/>
      <c r="BF5" s="105"/>
      <c r="BG5" s="105"/>
      <c r="BH5" s="105"/>
      <c r="BI5" s="105"/>
      <c r="BJ5" s="105"/>
      <c r="BK5" s="105"/>
      <c r="BL5" s="105"/>
      <c r="BM5" s="105"/>
      <c r="BN5" s="105"/>
      <c r="BO5" s="105"/>
      <c r="BP5" s="105"/>
      <c r="BQ5" s="105"/>
      <c r="BR5" s="105"/>
      <c r="BS5" s="105"/>
      <c r="BT5" s="105"/>
      <c r="BU5" s="105"/>
      <c r="BV5" s="105"/>
      <c r="BW5" s="105"/>
      <c r="BX5" s="105"/>
      <c r="BY5" s="105"/>
      <c r="BZ5" s="105"/>
      <c r="CA5" s="105"/>
      <c r="CB5" s="105"/>
      <c r="CC5" s="105"/>
      <c r="CD5" s="105"/>
      <c r="CE5" s="105"/>
      <c r="CF5" s="105"/>
      <c r="CG5" s="105"/>
      <c r="CH5" s="105"/>
      <c r="CI5" s="105"/>
      <c r="CJ5" s="105"/>
      <c r="CK5" s="105"/>
      <c r="CL5" s="105"/>
      <c r="CM5" s="105"/>
      <c r="CN5" s="105"/>
      <c r="CO5" s="105"/>
      <c r="CP5" s="105"/>
      <c r="CQ5" s="105"/>
      <c r="CR5" s="105"/>
      <c r="CS5" s="105"/>
      <c r="CT5" s="105"/>
      <c r="CU5" s="105"/>
      <c r="CV5" s="105"/>
      <c r="CW5" s="105"/>
      <c r="CX5" s="105"/>
      <c r="CY5" s="105"/>
      <c r="CZ5" s="105"/>
      <c r="DA5" s="105"/>
      <c r="DB5" s="105"/>
      <c r="DC5" s="105"/>
      <c r="DD5" s="105"/>
      <c r="DE5" s="105"/>
      <c r="DF5" s="105"/>
      <c r="DG5" s="105"/>
      <c r="DH5" s="105"/>
      <c r="DI5" s="105"/>
      <c r="DJ5" s="105"/>
      <c r="DK5" s="105"/>
      <c r="DL5" s="105"/>
      <c r="DM5" s="105"/>
      <c r="DN5" s="105"/>
      <c r="DO5" s="105"/>
      <c r="DP5" s="105"/>
      <c r="DQ5" s="105"/>
      <c r="DR5" s="105"/>
      <c r="DS5" s="105"/>
      <c r="DT5" s="105"/>
      <c r="DU5" s="105"/>
      <c r="DV5" s="105"/>
      <c r="DW5" s="105"/>
      <c r="DX5" s="105"/>
      <c r="DY5" s="105"/>
      <c r="DZ5" s="105"/>
      <c r="EA5" s="105"/>
      <c r="EB5" s="105"/>
      <c r="EC5" s="105"/>
      <c r="ED5" s="105"/>
      <c r="EE5" s="105"/>
      <c r="EF5" s="105"/>
      <c r="EG5" s="105"/>
      <c r="EH5" s="105"/>
      <c r="EI5" s="105"/>
      <c r="EJ5" s="105"/>
      <c r="EK5" s="105"/>
      <c r="EL5" s="105"/>
      <c r="EM5" s="105"/>
      <c r="EN5" s="105"/>
      <c r="EO5" s="105"/>
      <c r="EP5" s="105"/>
      <c r="EQ5" s="105"/>
      <c r="ER5" s="105"/>
      <c r="ES5" s="105"/>
      <c r="ET5" s="105"/>
      <c r="EU5" s="105"/>
      <c r="EV5" s="105"/>
      <c r="EW5" s="105"/>
      <c r="EX5" s="105"/>
      <c r="EY5" s="105"/>
      <c r="EZ5" s="105"/>
      <c r="FA5" s="105"/>
      <c r="FB5" s="105"/>
      <c r="FC5" s="105"/>
      <c r="FD5" s="105"/>
      <c r="FE5" s="105"/>
      <c r="FF5" s="105"/>
      <c r="FG5" s="105"/>
      <c r="FH5" s="105"/>
      <c r="FI5" s="105"/>
      <c r="FJ5" s="105"/>
      <c r="FK5" s="105"/>
      <c r="FL5" s="105"/>
      <c r="FM5" s="105"/>
      <c r="FN5" s="105"/>
      <c r="FO5" s="105"/>
      <c r="FP5" s="105"/>
      <c r="FQ5" s="105"/>
      <c r="FR5" s="105"/>
      <c r="FS5" s="105"/>
      <c r="FT5" s="105"/>
      <c r="FU5" s="105"/>
      <c r="FV5" s="105"/>
      <c r="FW5" s="105"/>
      <c r="FX5" s="105"/>
      <c r="FY5" s="105"/>
      <c r="FZ5" s="105"/>
      <c r="GA5" s="105"/>
      <c r="GB5" s="105"/>
      <c r="GC5" s="105"/>
      <c r="GD5" s="105"/>
      <c r="GE5" s="105"/>
      <c r="GF5" s="105"/>
      <c r="GG5" s="105"/>
      <c r="GH5" s="105"/>
      <c r="GI5" s="105"/>
      <c r="GJ5" s="105"/>
      <c r="GK5" s="105"/>
      <c r="GL5" s="105"/>
      <c r="GM5" s="105"/>
      <c r="GN5" s="105"/>
      <c r="GO5" s="105"/>
      <c r="GP5" s="105"/>
      <c r="GQ5" s="105"/>
      <c r="GR5" s="105"/>
      <c r="GS5" s="105"/>
      <c r="GT5" s="105"/>
      <c r="GU5" s="105"/>
      <c r="GV5" s="105"/>
      <c r="GW5" s="105"/>
      <c r="GX5" s="105"/>
      <c r="GY5" s="105"/>
      <c r="GZ5" s="105"/>
      <c r="HA5" s="105"/>
      <c r="HB5" s="105"/>
      <c r="HC5" s="105"/>
      <c r="HD5" s="105"/>
      <c r="HE5" s="105"/>
      <c r="HF5" s="105"/>
      <c r="HG5" s="105"/>
      <c r="HH5" s="105"/>
      <c r="HI5" s="105"/>
      <c r="HJ5" s="105"/>
      <c r="HK5" s="105"/>
      <c r="HL5" s="105"/>
      <c r="HM5" s="105"/>
      <c r="HN5" s="105"/>
      <c r="HO5" s="105"/>
      <c r="HP5" s="105"/>
      <c r="HQ5" s="105"/>
      <c r="HR5" s="105"/>
      <c r="HS5" s="105"/>
      <c r="HT5" s="105"/>
      <c r="HU5" s="105"/>
      <c r="HV5" s="105"/>
      <c r="HW5" s="105"/>
      <c r="HX5" s="105"/>
      <c r="HY5" s="105"/>
      <c r="HZ5" s="105"/>
      <c r="IA5" s="105"/>
      <c r="IB5" s="105"/>
      <c r="IC5" s="105"/>
      <c r="ID5" s="105"/>
      <c r="IE5" s="105"/>
      <c r="IF5" s="105"/>
      <c r="IG5" s="105"/>
      <c r="IH5" s="105"/>
      <c r="II5" s="105"/>
    </row>
    <row r="6" spans="1:243" ht="18" x14ac:dyDescent="0.25">
      <c r="A6" s="450" t="s">
        <v>221</v>
      </c>
      <c r="B6" s="450"/>
      <c r="C6" s="450"/>
      <c r="D6" s="450"/>
      <c r="E6" s="450"/>
      <c r="F6" s="450"/>
      <c r="G6" s="450"/>
      <c r="H6" s="450"/>
      <c r="I6" s="450"/>
      <c r="J6" s="408"/>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5"/>
      <c r="BK6" s="105"/>
      <c r="BL6" s="105"/>
      <c r="BM6" s="105"/>
      <c r="BN6" s="105"/>
      <c r="BO6" s="105"/>
      <c r="BP6" s="105"/>
      <c r="BQ6" s="105"/>
      <c r="BR6" s="105"/>
      <c r="BS6" s="105"/>
      <c r="BT6" s="105"/>
      <c r="BU6" s="105"/>
      <c r="BV6" s="105"/>
      <c r="BW6" s="105"/>
      <c r="BX6" s="105"/>
      <c r="BY6" s="105"/>
      <c r="BZ6" s="105"/>
      <c r="CA6" s="105"/>
      <c r="CB6" s="105"/>
      <c r="CC6" s="105"/>
      <c r="CD6" s="105"/>
      <c r="CE6" s="105"/>
      <c r="CF6" s="105"/>
      <c r="CG6" s="105"/>
      <c r="CH6" s="105"/>
      <c r="CI6" s="105"/>
      <c r="CJ6" s="105"/>
      <c r="CK6" s="105"/>
      <c r="CL6" s="105"/>
      <c r="CM6" s="105"/>
      <c r="CN6" s="105"/>
      <c r="CO6" s="105"/>
      <c r="CP6" s="105"/>
      <c r="CQ6" s="105"/>
      <c r="CR6" s="105"/>
      <c r="CS6" s="105"/>
      <c r="CT6" s="105"/>
      <c r="CU6" s="105"/>
      <c r="CV6" s="105"/>
      <c r="CW6" s="105"/>
      <c r="CX6" s="105"/>
      <c r="CY6" s="105"/>
      <c r="CZ6" s="105"/>
      <c r="DA6" s="105"/>
      <c r="DB6" s="105"/>
      <c r="DC6" s="105"/>
      <c r="DD6" s="105"/>
      <c r="DE6" s="105"/>
      <c r="DF6" s="105"/>
      <c r="DG6" s="105"/>
      <c r="DH6" s="105"/>
      <c r="DI6" s="105"/>
      <c r="DJ6" s="105"/>
      <c r="DK6" s="105"/>
      <c r="DL6" s="105"/>
      <c r="DM6" s="105"/>
      <c r="DN6" s="105"/>
      <c r="DO6" s="105"/>
      <c r="DP6" s="105"/>
      <c r="DQ6" s="105"/>
      <c r="DR6" s="105"/>
      <c r="DS6" s="105"/>
      <c r="DT6" s="105"/>
      <c r="DU6" s="105"/>
      <c r="DV6" s="105"/>
      <c r="DW6" s="105"/>
      <c r="DX6" s="105"/>
      <c r="DY6" s="105"/>
      <c r="DZ6" s="105"/>
      <c r="EA6" s="105"/>
      <c r="EB6" s="105"/>
      <c r="EC6" s="105"/>
      <c r="ED6" s="105"/>
      <c r="EE6" s="105"/>
      <c r="EF6" s="105"/>
      <c r="EG6" s="105"/>
      <c r="EH6" s="105"/>
      <c r="EI6" s="105"/>
      <c r="EJ6" s="105"/>
      <c r="EK6" s="105"/>
      <c r="EL6" s="105"/>
      <c r="EM6" s="105"/>
      <c r="EN6" s="105"/>
      <c r="EO6" s="105"/>
      <c r="EP6" s="105"/>
      <c r="EQ6" s="105"/>
      <c r="ER6" s="105"/>
      <c r="ES6" s="105"/>
      <c r="ET6" s="105"/>
      <c r="EU6" s="105"/>
      <c r="EV6" s="105"/>
      <c r="EW6" s="105"/>
      <c r="EX6" s="105"/>
      <c r="EY6" s="105"/>
      <c r="EZ6" s="105"/>
      <c r="FA6" s="105"/>
      <c r="FB6" s="105"/>
      <c r="FC6" s="105"/>
      <c r="FD6" s="105"/>
      <c r="FE6" s="105"/>
      <c r="FF6" s="105"/>
      <c r="FG6" s="105"/>
      <c r="FH6" s="105"/>
      <c r="FI6" s="105"/>
      <c r="FJ6" s="105"/>
      <c r="FK6" s="105"/>
      <c r="FL6" s="105"/>
      <c r="FM6" s="105"/>
      <c r="FN6" s="105"/>
      <c r="FO6" s="105"/>
      <c r="FP6" s="105"/>
      <c r="FQ6" s="105"/>
      <c r="FR6" s="105"/>
      <c r="FS6" s="105"/>
      <c r="FT6" s="105"/>
      <c r="FU6" s="105"/>
      <c r="FV6" s="105"/>
      <c r="FW6" s="105"/>
      <c r="FX6" s="105"/>
      <c r="FY6" s="105"/>
      <c r="FZ6" s="105"/>
      <c r="GA6" s="105"/>
      <c r="GB6" s="105"/>
      <c r="GC6" s="105"/>
      <c r="GD6" s="105"/>
      <c r="GE6" s="105"/>
      <c r="GF6" s="105"/>
      <c r="GG6" s="105"/>
      <c r="GH6" s="105"/>
      <c r="GI6" s="105"/>
      <c r="GJ6" s="105"/>
      <c r="GK6" s="105"/>
      <c r="GL6" s="105"/>
      <c r="GM6" s="105"/>
      <c r="GN6" s="105"/>
      <c r="GO6" s="105"/>
      <c r="GP6" s="105"/>
      <c r="GQ6" s="105"/>
      <c r="GR6" s="105"/>
      <c r="GS6" s="105"/>
      <c r="GT6" s="105"/>
      <c r="GU6" s="105"/>
      <c r="GV6" s="105"/>
      <c r="GW6" s="105"/>
      <c r="GX6" s="105"/>
      <c r="GY6" s="105"/>
      <c r="GZ6" s="105"/>
      <c r="HA6" s="105"/>
      <c r="HB6" s="105"/>
      <c r="HC6" s="105"/>
      <c r="HD6" s="105"/>
      <c r="HE6" s="105"/>
      <c r="HF6" s="105"/>
      <c r="HG6" s="105"/>
      <c r="HH6" s="105"/>
      <c r="HI6" s="105"/>
      <c r="HJ6" s="105"/>
      <c r="HK6" s="105"/>
      <c r="HL6" s="105"/>
      <c r="HM6" s="105"/>
      <c r="HN6" s="105"/>
      <c r="HO6" s="105"/>
      <c r="HP6" s="105"/>
      <c r="HQ6" s="105"/>
      <c r="HR6" s="105"/>
      <c r="HS6" s="105"/>
      <c r="HT6" s="105"/>
      <c r="HU6" s="105"/>
      <c r="HV6" s="105"/>
      <c r="HW6" s="105"/>
      <c r="HX6" s="105"/>
      <c r="HY6" s="105"/>
      <c r="HZ6" s="105"/>
      <c r="IA6" s="105"/>
      <c r="IB6" s="105"/>
      <c r="IC6" s="105"/>
      <c r="ID6" s="105"/>
      <c r="IE6" s="105"/>
      <c r="IF6" s="105"/>
      <c r="IG6" s="105"/>
      <c r="IH6" s="105"/>
      <c r="II6" s="105"/>
    </row>
    <row r="7" spans="1:243" ht="15.75" x14ac:dyDescent="0.2">
      <c r="A7" s="451" t="s">
        <v>112</v>
      </c>
      <c r="B7" s="451"/>
      <c r="C7" s="451"/>
      <c r="D7" s="451"/>
      <c r="E7" s="451"/>
      <c r="F7" s="451"/>
      <c r="G7" s="451"/>
      <c r="H7" s="451"/>
      <c r="I7" s="451"/>
      <c r="J7" s="408"/>
      <c r="K7" s="106"/>
      <c r="L7" s="106"/>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106"/>
      <c r="BI7" s="106"/>
      <c r="BJ7" s="106"/>
      <c r="BK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c r="CO7" s="106"/>
      <c r="CP7" s="106"/>
      <c r="CQ7" s="106"/>
      <c r="CR7" s="106"/>
      <c r="CS7" s="106"/>
      <c r="CT7" s="106"/>
      <c r="CU7" s="106"/>
      <c r="CV7" s="106"/>
      <c r="CW7" s="106"/>
      <c r="CX7" s="106"/>
      <c r="CY7" s="106"/>
      <c r="CZ7" s="106"/>
      <c r="DA7" s="106"/>
      <c r="DB7" s="106"/>
      <c r="DC7" s="106"/>
      <c r="DD7" s="106"/>
      <c r="DE7" s="106"/>
      <c r="DF7" s="106"/>
      <c r="DG7" s="106"/>
      <c r="DH7" s="106"/>
      <c r="DI7" s="106"/>
      <c r="DJ7" s="106"/>
      <c r="DK7" s="106"/>
      <c r="DL7" s="106"/>
      <c r="DM7" s="106"/>
      <c r="DN7" s="106"/>
      <c r="DO7" s="106"/>
      <c r="DP7" s="106"/>
      <c r="DQ7" s="106"/>
      <c r="DR7" s="106"/>
      <c r="DS7" s="106"/>
      <c r="DT7" s="106"/>
      <c r="DU7" s="106"/>
      <c r="DV7" s="106"/>
      <c r="DW7" s="106"/>
      <c r="DX7" s="106"/>
      <c r="DY7" s="106"/>
      <c r="DZ7" s="106"/>
      <c r="EA7" s="106"/>
      <c r="EB7" s="106"/>
      <c r="EC7" s="106"/>
      <c r="ED7" s="106"/>
      <c r="EE7" s="106"/>
      <c r="EF7" s="106"/>
      <c r="EG7" s="106"/>
      <c r="EH7" s="106"/>
      <c r="EI7" s="106"/>
      <c r="EJ7" s="106"/>
      <c r="EK7" s="106"/>
      <c r="EL7" s="106"/>
      <c r="EM7" s="106"/>
      <c r="EN7" s="106"/>
      <c r="EO7" s="106"/>
      <c r="EP7" s="106"/>
      <c r="EQ7" s="106"/>
      <c r="ER7" s="106"/>
      <c r="ES7" s="106"/>
      <c r="ET7" s="106"/>
      <c r="EU7" s="106"/>
      <c r="EV7" s="106"/>
      <c r="EW7" s="106"/>
      <c r="EX7" s="106"/>
      <c r="EY7" s="106"/>
      <c r="EZ7" s="106"/>
      <c r="FA7" s="106"/>
      <c r="FB7" s="106"/>
      <c r="FC7" s="106"/>
      <c r="FD7" s="106"/>
      <c r="FE7" s="106"/>
      <c r="FF7" s="106"/>
      <c r="FG7" s="106"/>
      <c r="FH7" s="106"/>
      <c r="FI7" s="106"/>
      <c r="FJ7" s="106"/>
      <c r="FK7" s="106"/>
      <c r="FL7" s="106"/>
      <c r="FM7" s="106"/>
      <c r="FN7" s="106"/>
      <c r="FO7" s="106"/>
      <c r="FP7" s="106"/>
      <c r="FQ7" s="106"/>
      <c r="FR7" s="106"/>
      <c r="FS7" s="106"/>
      <c r="FT7" s="106"/>
      <c r="FU7" s="106"/>
      <c r="FV7" s="106"/>
      <c r="FW7" s="106"/>
      <c r="FX7" s="106"/>
      <c r="FY7" s="106"/>
      <c r="FZ7" s="106"/>
      <c r="GA7" s="106"/>
      <c r="GB7" s="106"/>
      <c r="GC7" s="106"/>
      <c r="GD7" s="106"/>
      <c r="GE7" s="106"/>
      <c r="GF7" s="106"/>
      <c r="GG7" s="106"/>
      <c r="GH7" s="106"/>
      <c r="GI7" s="106"/>
      <c r="GJ7" s="106"/>
      <c r="GK7" s="106"/>
      <c r="GL7" s="106"/>
      <c r="GM7" s="106"/>
      <c r="GN7" s="106"/>
      <c r="GO7" s="106"/>
      <c r="GP7" s="106"/>
      <c r="GQ7" s="106"/>
      <c r="GR7" s="106"/>
      <c r="GS7" s="106"/>
      <c r="GT7" s="106"/>
      <c r="GU7" s="106"/>
      <c r="GV7" s="106"/>
      <c r="GW7" s="106"/>
      <c r="GX7" s="106"/>
      <c r="GY7" s="106"/>
      <c r="GZ7" s="106"/>
      <c r="HA7" s="106"/>
      <c r="HB7" s="106"/>
      <c r="HC7" s="106"/>
      <c r="HD7" s="106"/>
      <c r="HE7" s="106"/>
      <c r="HF7" s="106"/>
      <c r="HG7" s="106"/>
      <c r="HH7" s="106"/>
      <c r="HI7" s="106"/>
      <c r="HJ7" s="106"/>
      <c r="HK7" s="106"/>
      <c r="HL7" s="106"/>
      <c r="HM7" s="106"/>
      <c r="HN7" s="106"/>
      <c r="HO7" s="106"/>
      <c r="HP7" s="106"/>
      <c r="HQ7" s="106"/>
      <c r="HR7" s="106"/>
      <c r="HS7" s="106"/>
      <c r="HT7" s="106"/>
      <c r="HU7" s="106"/>
      <c r="HV7" s="106"/>
      <c r="HW7" s="106"/>
      <c r="HX7" s="106"/>
      <c r="HY7" s="106"/>
      <c r="HZ7" s="106"/>
      <c r="IA7" s="106"/>
      <c r="IB7" s="106"/>
      <c r="IC7" s="106"/>
      <c r="ID7" s="106"/>
      <c r="IE7" s="106"/>
      <c r="IF7" s="106"/>
      <c r="IG7" s="106"/>
      <c r="IH7" s="106"/>
      <c r="II7" s="106"/>
    </row>
    <row r="8" spans="1:243" ht="15.75" x14ac:dyDescent="0.2">
      <c r="A8" s="131"/>
      <c r="B8" s="131"/>
      <c r="C8" s="131"/>
      <c r="D8" s="131"/>
      <c r="E8" s="131"/>
      <c r="F8" s="131"/>
      <c r="G8" s="131"/>
      <c r="H8" s="131"/>
      <c r="J8" s="408"/>
    </row>
    <row r="9" spans="1:243" ht="15.75" customHeight="1" x14ac:dyDescent="0.2">
      <c r="A9" s="827" t="s">
        <v>549</v>
      </c>
      <c r="B9" s="827"/>
      <c r="C9" s="827"/>
      <c r="D9" s="827"/>
      <c r="E9" s="827"/>
      <c r="F9" s="827"/>
      <c r="G9" s="827"/>
      <c r="H9" s="827"/>
      <c r="I9" s="827"/>
      <c r="J9" s="827"/>
    </row>
    <row r="10" spans="1:243" ht="2.25" customHeight="1" x14ac:dyDescent="0.2">
      <c r="A10" s="477"/>
      <c r="B10" s="461"/>
      <c r="C10" s="461"/>
      <c r="D10" s="461"/>
      <c r="E10" s="461"/>
      <c r="F10" s="461"/>
      <c r="G10" s="188"/>
      <c r="H10" s="188"/>
      <c r="I10" s="513"/>
      <c r="J10" s="513"/>
    </row>
    <row r="11" spans="1:243" s="107" customFormat="1" ht="51" x14ac:dyDescent="0.2">
      <c r="A11" s="509" t="s">
        <v>69</v>
      </c>
      <c r="B11" s="510"/>
      <c r="C11" s="414" t="s">
        <v>117</v>
      </c>
      <c r="D11" s="199" t="s">
        <v>206</v>
      </c>
      <c r="E11" s="199" t="s">
        <v>551</v>
      </c>
      <c r="F11" s="199" t="s">
        <v>550</v>
      </c>
      <c r="G11" s="199" t="s">
        <v>552</v>
      </c>
      <c r="H11" s="199" t="s">
        <v>553</v>
      </c>
      <c r="I11" s="199" t="s">
        <v>554</v>
      </c>
      <c r="J11" s="415" t="s">
        <v>555</v>
      </c>
    </row>
    <row r="12" spans="1:243" s="107" customFormat="1" ht="38.25" x14ac:dyDescent="0.2">
      <c r="A12" s="511">
        <v>1</v>
      </c>
      <c r="B12" s="511"/>
      <c r="C12" s="127" t="s">
        <v>224</v>
      </c>
      <c r="D12" s="516" t="s">
        <v>435</v>
      </c>
      <c r="E12" s="218">
        <v>2</v>
      </c>
      <c r="F12" s="413">
        <f ca="1">'12x36 DA'!C130</f>
        <v>7190.0786856367004</v>
      </c>
      <c r="G12" s="218">
        <v>2</v>
      </c>
      <c r="H12" s="413">
        <f ca="1">'12x36 DA'!C132</f>
        <v>14380.157371273401</v>
      </c>
      <c r="I12" s="218">
        <v>4</v>
      </c>
      <c r="J12" s="409">
        <f ca="1">(((H12*E12)))</f>
        <v>28760.314742546801</v>
      </c>
    </row>
    <row r="13" spans="1:243" s="107" customFormat="1" ht="38.25" x14ac:dyDescent="0.2">
      <c r="A13" s="511">
        <v>2</v>
      </c>
      <c r="B13" s="511"/>
      <c r="C13" s="127" t="s">
        <v>207</v>
      </c>
      <c r="D13" s="517"/>
      <c r="E13" s="218">
        <v>2</v>
      </c>
      <c r="F13" s="413">
        <f ca="1">'12X36 NA'!C131</f>
        <v>7862.5039607426997</v>
      </c>
      <c r="G13" s="218">
        <v>2</v>
      </c>
      <c r="H13" s="413">
        <f ca="1">'12X36 NA'!C133</f>
        <v>15725.007921485399</v>
      </c>
      <c r="I13" s="218">
        <v>4</v>
      </c>
      <c r="J13" s="409">
        <f ca="1">(((H13*E13)))</f>
        <v>31450.015842970799</v>
      </c>
    </row>
    <row r="14" spans="1:243" s="129" customFormat="1" ht="51" customHeight="1" x14ac:dyDescent="0.2">
      <c r="A14" s="511">
        <v>3</v>
      </c>
      <c r="B14" s="511"/>
      <c r="C14" s="127" t="s">
        <v>225</v>
      </c>
      <c r="D14" s="517"/>
      <c r="E14" s="145">
        <v>3</v>
      </c>
      <c r="F14" s="413">
        <f ca="1">'44HS DA'!C131</f>
        <v>7428.7104856366996</v>
      </c>
      <c r="G14" s="128">
        <v>1</v>
      </c>
      <c r="H14" s="413">
        <f ca="1">'44HS DA'!C133</f>
        <v>7428.7104856366996</v>
      </c>
      <c r="I14" s="128">
        <v>3</v>
      </c>
      <c r="J14" s="409">
        <f ca="1">(((H14*E14)))</f>
        <v>22286.131456910098</v>
      </c>
    </row>
    <row r="15" spans="1:243" s="129" customFormat="1" ht="38.25" x14ac:dyDescent="0.2">
      <c r="A15" s="511">
        <v>4</v>
      </c>
      <c r="B15" s="511"/>
      <c r="C15" s="127" t="s">
        <v>226</v>
      </c>
      <c r="D15" s="518"/>
      <c r="E15" s="145">
        <v>2</v>
      </c>
      <c r="F15" s="413">
        <f ca="1">'44HS DD'!C131</f>
        <v>7410.8946523033665</v>
      </c>
      <c r="G15" s="128">
        <v>1</v>
      </c>
      <c r="H15" s="413">
        <f ca="1">'44HS DD'!C133</f>
        <v>7410.8946523033665</v>
      </c>
      <c r="I15" s="128">
        <v>2</v>
      </c>
      <c r="J15" s="409">
        <f ca="1">(((H15*E15)))</f>
        <v>14821.789304606733</v>
      </c>
    </row>
    <row r="16" spans="1:243" s="107" customFormat="1" ht="22.5" customHeight="1" x14ac:dyDescent="0.2">
      <c r="A16" s="463" t="s">
        <v>77</v>
      </c>
      <c r="B16" s="464"/>
      <c r="C16" s="464"/>
      <c r="D16" s="464"/>
      <c r="E16" s="205">
        <f>SUM(E12:E15)</f>
        <v>9</v>
      </c>
      <c r="F16" s="175"/>
      <c r="G16" s="148">
        <f>SUM(G12:G15)</f>
        <v>6</v>
      </c>
      <c r="H16" s="148"/>
      <c r="I16" s="148">
        <f>SUM(I12:I15)</f>
        <v>13</v>
      </c>
      <c r="J16" s="410">
        <f ca="1">SUM(J12:J15)</f>
        <v>97318.251347034427</v>
      </c>
      <c r="K16" s="416"/>
    </row>
    <row r="17" spans="1:252" s="107" customFormat="1" ht="4.5" customHeight="1" x14ac:dyDescent="0.2">
      <c r="A17" s="452"/>
      <c r="B17" s="453"/>
      <c r="C17" s="453"/>
      <c r="D17" s="453"/>
      <c r="E17" s="453"/>
      <c r="F17" s="453"/>
      <c r="G17" s="453"/>
      <c r="H17" s="453"/>
      <c r="I17" s="453"/>
      <c r="J17" s="453"/>
      <c r="K17" s="108"/>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8"/>
      <c r="BK17" s="108"/>
      <c r="BL17" s="108"/>
      <c r="BM17" s="108"/>
      <c r="BN17" s="108"/>
      <c r="BO17" s="108"/>
      <c r="BP17" s="108"/>
      <c r="BQ17" s="108"/>
      <c r="BR17" s="108"/>
      <c r="BS17" s="108"/>
      <c r="BT17" s="108"/>
      <c r="BU17" s="108"/>
      <c r="BV17" s="108"/>
      <c r="BW17" s="108"/>
      <c r="BX17" s="108"/>
      <c r="BY17" s="108"/>
      <c r="BZ17" s="108"/>
      <c r="CA17" s="108"/>
      <c r="CB17" s="108"/>
      <c r="CC17" s="108"/>
      <c r="CD17" s="108"/>
      <c r="CE17" s="108"/>
      <c r="CF17" s="108"/>
      <c r="CG17" s="108"/>
      <c r="CH17" s="108"/>
      <c r="CI17" s="108"/>
      <c r="CJ17" s="108"/>
      <c r="CK17" s="108"/>
      <c r="CL17" s="108"/>
      <c r="CM17" s="108"/>
      <c r="CN17" s="108"/>
      <c r="CO17" s="108"/>
      <c r="CP17" s="108"/>
      <c r="CQ17" s="108"/>
      <c r="CR17" s="108"/>
      <c r="CS17" s="108"/>
      <c r="CT17" s="108"/>
      <c r="CU17" s="108"/>
      <c r="CV17" s="108"/>
      <c r="CW17" s="108"/>
      <c r="CX17" s="108"/>
      <c r="CY17" s="108"/>
      <c r="CZ17" s="108"/>
      <c r="DA17" s="108"/>
      <c r="DB17" s="108"/>
      <c r="DC17" s="108"/>
      <c r="DD17" s="108"/>
      <c r="DE17" s="108"/>
      <c r="DF17" s="108"/>
      <c r="DG17" s="108"/>
      <c r="DH17" s="108"/>
      <c r="DI17" s="108"/>
      <c r="DJ17" s="108"/>
      <c r="DK17" s="108"/>
      <c r="DL17" s="108"/>
      <c r="DM17" s="108"/>
      <c r="DN17" s="108"/>
      <c r="DO17" s="108"/>
      <c r="DP17" s="108"/>
      <c r="DQ17" s="108"/>
      <c r="DR17" s="108"/>
      <c r="DS17" s="108"/>
      <c r="DT17" s="108"/>
      <c r="DU17" s="108"/>
      <c r="DV17" s="108"/>
      <c r="DW17" s="108"/>
      <c r="DX17" s="108"/>
      <c r="DY17" s="108"/>
      <c r="DZ17" s="108"/>
      <c r="EA17" s="108"/>
      <c r="EB17" s="108"/>
      <c r="EC17" s="108"/>
      <c r="ED17" s="108"/>
      <c r="EE17" s="108"/>
      <c r="EF17" s="108"/>
      <c r="EG17" s="108"/>
      <c r="EH17" s="108"/>
      <c r="EI17" s="108"/>
      <c r="EJ17" s="108"/>
      <c r="EK17" s="108"/>
      <c r="EL17" s="108"/>
      <c r="EM17" s="108"/>
      <c r="EN17" s="108"/>
      <c r="EO17" s="108"/>
      <c r="EP17" s="108"/>
      <c r="EQ17" s="108"/>
      <c r="ER17" s="108"/>
      <c r="ES17" s="108"/>
      <c r="ET17" s="108"/>
      <c r="EU17" s="108"/>
      <c r="EV17" s="108"/>
      <c r="EW17" s="108"/>
      <c r="EX17" s="108"/>
      <c r="EY17" s="108"/>
      <c r="EZ17" s="108"/>
      <c r="FA17" s="108"/>
      <c r="FB17" s="108"/>
      <c r="FC17" s="108"/>
      <c r="FD17" s="108"/>
      <c r="FE17" s="108"/>
      <c r="FF17" s="108"/>
      <c r="FG17" s="108"/>
      <c r="FH17" s="108"/>
      <c r="FI17" s="108"/>
      <c r="FJ17" s="108"/>
      <c r="FK17" s="108"/>
      <c r="FL17" s="108"/>
      <c r="FM17" s="108"/>
      <c r="FN17" s="108"/>
      <c r="FO17" s="108"/>
      <c r="FP17" s="108"/>
      <c r="FQ17" s="108"/>
      <c r="FR17" s="108"/>
      <c r="FS17" s="108"/>
      <c r="FT17" s="108"/>
      <c r="FU17" s="108"/>
      <c r="FV17" s="108"/>
      <c r="FW17" s="108"/>
      <c r="FX17" s="108"/>
      <c r="FY17" s="108"/>
      <c r="FZ17" s="108"/>
      <c r="GA17" s="108"/>
      <c r="GB17" s="108"/>
      <c r="GC17" s="108"/>
      <c r="GD17" s="108"/>
      <c r="GE17" s="108"/>
      <c r="GF17" s="108"/>
      <c r="GG17" s="108"/>
      <c r="GH17" s="108"/>
      <c r="GI17" s="108"/>
      <c r="GJ17" s="108"/>
      <c r="GK17" s="108"/>
      <c r="GL17" s="108"/>
      <c r="GM17" s="108"/>
      <c r="GN17" s="108"/>
      <c r="GO17" s="108"/>
      <c r="GP17" s="108"/>
      <c r="GQ17" s="108"/>
      <c r="GR17" s="108"/>
      <c r="GS17" s="108"/>
      <c r="GT17" s="108"/>
      <c r="GU17" s="108"/>
      <c r="GV17" s="108"/>
      <c r="GW17" s="108"/>
      <c r="GX17" s="108"/>
      <c r="GY17" s="108"/>
      <c r="GZ17" s="108"/>
      <c r="HA17" s="108"/>
      <c r="HB17" s="108"/>
      <c r="HC17" s="108"/>
      <c r="HD17" s="108"/>
      <c r="HE17" s="108"/>
      <c r="HF17" s="108"/>
      <c r="HG17" s="108"/>
      <c r="HH17" s="108"/>
      <c r="HI17" s="108"/>
      <c r="HJ17" s="108"/>
      <c r="HK17" s="108"/>
      <c r="HL17" s="108"/>
      <c r="HM17" s="108"/>
      <c r="HN17" s="108"/>
      <c r="HO17" s="108"/>
      <c r="HP17" s="108"/>
      <c r="HQ17" s="108"/>
      <c r="HR17" s="108"/>
      <c r="HS17" s="108"/>
      <c r="HT17" s="108"/>
      <c r="HU17" s="108"/>
      <c r="HV17" s="108"/>
      <c r="HW17" s="108"/>
      <c r="HX17" s="108"/>
      <c r="HY17" s="108"/>
      <c r="HZ17" s="108"/>
      <c r="IA17" s="108"/>
      <c r="IB17" s="108"/>
      <c r="IC17" s="108"/>
      <c r="ID17" s="108"/>
      <c r="IE17" s="108"/>
      <c r="IF17" s="108"/>
      <c r="IG17" s="108"/>
      <c r="IH17" s="108"/>
      <c r="II17" s="108"/>
      <c r="IJ17" s="108"/>
      <c r="IK17" s="108"/>
      <c r="IL17" s="108"/>
      <c r="IM17" s="108"/>
      <c r="IN17" s="108"/>
      <c r="IO17" s="108"/>
      <c r="IP17" s="108"/>
      <c r="IQ17" s="108"/>
      <c r="IR17" s="108"/>
    </row>
    <row r="18" spans="1:252" s="107" customFormat="1" ht="18" customHeight="1" x14ac:dyDescent="0.2">
      <c r="A18" s="824" t="s">
        <v>78</v>
      </c>
      <c r="B18" s="825"/>
      <c r="C18" s="825"/>
      <c r="D18" s="825"/>
      <c r="E18" s="825"/>
      <c r="F18" s="825"/>
      <c r="G18" s="825"/>
      <c r="H18" s="825"/>
      <c r="I18" s="826"/>
      <c r="J18" s="411">
        <f ca="1">J16</f>
        <v>97318.251347034427</v>
      </c>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c r="BM18" s="108"/>
      <c r="BN18" s="108"/>
      <c r="BO18" s="108"/>
      <c r="BP18" s="108"/>
      <c r="BQ18" s="108"/>
      <c r="BR18" s="108"/>
      <c r="BS18" s="108"/>
      <c r="BT18" s="108"/>
      <c r="BU18" s="108"/>
      <c r="BV18" s="108"/>
      <c r="BW18" s="108"/>
      <c r="BX18" s="108"/>
      <c r="BY18" s="108"/>
      <c r="BZ18" s="108"/>
      <c r="CA18" s="108"/>
      <c r="CB18" s="108"/>
      <c r="CC18" s="108"/>
      <c r="CD18" s="108"/>
      <c r="CE18" s="108"/>
      <c r="CF18" s="108"/>
      <c r="CG18" s="108"/>
      <c r="CH18" s="108"/>
      <c r="CI18" s="108"/>
      <c r="CJ18" s="108"/>
      <c r="CK18" s="108"/>
      <c r="CL18" s="108"/>
      <c r="CM18" s="108"/>
      <c r="CN18" s="108"/>
      <c r="CO18" s="108"/>
      <c r="CP18" s="108"/>
      <c r="CQ18" s="108"/>
      <c r="CR18" s="108"/>
      <c r="CS18" s="108"/>
      <c r="CT18" s="108"/>
      <c r="CU18" s="108"/>
      <c r="CV18" s="108"/>
      <c r="CW18" s="108"/>
      <c r="CX18" s="108"/>
      <c r="CY18" s="108"/>
      <c r="CZ18" s="108"/>
      <c r="DA18" s="108"/>
      <c r="DB18" s="108"/>
      <c r="DC18" s="108"/>
      <c r="DD18" s="108"/>
      <c r="DE18" s="108"/>
      <c r="DF18" s="108"/>
      <c r="DG18" s="108"/>
      <c r="DH18" s="108"/>
      <c r="DI18" s="108"/>
      <c r="DJ18" s="108"/>
      <c r="DK18" s="108"/>
      <c r="DL18" s="108"/>
      <c r="DM18" s="108"/>
      <c r="DN18" s="108"/>
      <c r="DO18" s="108"/>
      <c r="DP18" s="108"/>
      <c r="DQ18" s="108"/>
      <c r="DR18" s="108"/>
      <c r="DS18" s="108"/>
      <c r="DT18" s="108"/>
      <c r="DU18" s="108"/>
      <c r="DV18" s="108"/>
      <c r="DW18" s="108"/>
      <c r="DX18" s="108"/>
      <c r="DY18" s="108"/>
      <c r="DZ18" s="108"/>
      <c r="EA18" s="108"/>
      <c r="EB18" s="108"/>
      <c r="EC18" s="108"/>
      <c r="ED18" s="108"/>
      <c r="EE18" s="108"/>
      <c r="EF18" s="108"/>
      <c r="EG18" s="108"/>
      <c r="EH18" s="108"/>
      <c r="EI18" s="108"/>
      <c r="EJ18" s="108"/>
      <c r="EK18" s="108"/>
      <c r="EL18" s="108"/>
      <c r="EM18" s="108"/>
      <c r="EN18" s="108"/>
      <c r="EO18" s="108"/>
      <c r="EP18" s="108"/>
      <c r="EQ18" s="108"/>
      <c r="ER18" s="108"/>
      <c r="ES18" s="108"/>
      <c r="ET18" s="108"/>
      <c r="EU18" s="108"/>
      <c r="EV18" s="108"/>
      <c r="EW18" s="108"/>
      <c r="EX18" s="108"/>
      <c r="EY18" s="108"/>
      <c r="EZ18" s="108"/>
      <c r="FA18" s="108"/>
      <c r="FB18" s="108"/>
      <c r="FC18" s="108"/>
      <c r="FD18" s="108"/>
      <c r="FE18" s="108"/>
      <c r="FF18" s="108"/>
      <c r="FG18" s="108"/>
      <c r="FH18" s="108"/>
      <c r="FI18" s="108"/>
      <c r="FJ18" s="108"/>
      <c r="FK18" s="108"/>
      <c r="FL18" s="108"/>
      <c r="FM18" s="108"/>
      <c r="FN18" s="108"/>
      <c r="FO18" s="108"/>
      <c r="FP18" s="108"/>
      <c r="FQ18" s="108"/>
      <c r="FR18" s="108"/>
      <c r="FS18" s="108"/>
      <c r="FT18" s="108"/>
      <c r="FU18" s="108"/>
      <c r="FV18" s="108"/>
      <c r="FW18" s="108"/>
      <c r="FX18" s="108"/>
      <c r="FY18" s="108"/>
      <c r="FZ18" s="108"/>
      <c r="GA18" s="108"/>
      <c r="GB18" s="108"/>
      <c r="GC18" s="108"/>
      <c r="GD18" s="108"/>
      <c r="GE18" s="108"/>
      <c r="GF18" s="108"/>
      <c r="GG18" s="108"/>
      <c r="GH18" s="108"/>
      <c r="GI18" s="108"/>
      <c r="GJ18" s="108"/>
      <c r="GK18" s="108"/>
      <c r="GL18" s="108"/>
      <c r="GM18" s="108"/>
      <c r="GN18" s="108"/>
      <c r="GO18" s="108"/>
      <c r="GP18" s="108"/>
      <c r="GQ18" s="108"/>
      <c r="GR18" s="108"/>
      <c r="GS18" s="108"/>
      <c r="GT18" s="108"/>
      <c r="GU18" s="108"/>
      <c r="GV18" s="108"/>
      <c r="GW18" s="108"/>
      <c r="GX18" s="108"/>
      <c r="GY18" s="108"/>
      <c r="GZ18" s="108"/>
      <c r="HA18" s="108"/>
      <c r="HB18" s="108"/>
      <c r="HC18" s="108"/>
      <c r="HD18" s="108"/>
      <c r="HE18" s="108"/>
      <c r="HF18" s="108"/>
      <c r="HG18" s="108"/>
      <c r="HH18" s="108"/>
      <c r="HI18" s="108"/>
      <c r="HJ18" s="108"/>
      <c r="HK18" s="108"/>
      <c r="HL18" s="108"/>
      <c r="HM18" s="108"/>
      <c r="HN18" s="108"/>
      <c r="HO18" s="108"/>
      <c r="HP18" s="108"/>
      <c r="HQ18" s="108"/>
      <c r="HR18" s="108"/>
      <c r="HS18" s="108"/>
      <c r="HT18" s="108"/>
      <c r="HU18" s="108"/>
      <c r="HV18" s="108"/>
      <c r="HW18" s="108"/>
      <c r="HX18" s="108"/>
      <c r="HY18" s="108"/>
      <c r="HZ18" s="108"/>
      <c r="IA18" s="108"/>
      <c r="IB18" s="108"/>
      <c r="IC18" s="108"/>
      <c r="ID18" s="108"/>
      <c r="IE18" s="108"/>
      <c r="IF18" s="108"/>
      <c r="IG18" s="108"/>
      <c r="IH18" s="108"/>
      <c r="II18" s="108"/>
      <c r="IJ18" s="108"/>
      <c r="IK18" s="108"/>
      <c r="IL18" s="108"/>
      <c r="IM18" s="108"/>
      <c r="IN18" s="108"/>
      <c r="IO18" s="108"/>
      <c r="IP18" s="108"/>
      <c r="IQ18" s="108"/>
      <c r="IR18" s="108"/>
    </row>
    <row r="19" spans="1:252" s="107" customFormat="1" ht="15" customHeight="1" x14ac:dyDescent="0.2">
      <c r="A19" s="468" t="s">
        <v>556</v>
      </c>
      <c r="B19" s="468"/>
      <c r="C19" s="468"/>
      <c r="D19" s="468"/>
      <c r="E19" s="468"/>
      <c r="F19" s="468"/>
      <c r="G19" s="468"/>
      <c r="H19" s="468"/>
      <c r="I19" s="468"/>
      <c r="J19" s="468"/>
    </row>
    <row r="22" spans="1:252" ht="18" x14ac:dyDescent="0.2">
      <c r="A22" s="827" t="s">
        <v>549</v>
      </c>
      <c r="B22" s="827"/>
      <c r="C22" s="827"/>
      <c r="D22" s="827"/>
      <c r="E22" s="827"/>
      <c r="F22" s="827"/>
      <c r="G22" s="827"/>
      <c r="H22" s="827"/>
      <c r="I22" s="827"/>
      <c r="J22" s="827"/>
    </row>
    <row r="23" spans="1:252" ht="18" x14ac:dyDescent="0.2">
      <c r="A23" s="827" t="s">
        <v>557</v>
      </c>
      <c r="B23" s="827"/>
      <c r="C23" s="827"/>
      <c r="D23" s="827"/>
      <c r="E23" s="827"/>
      <c r="F23" s="827"/>
      <c r="G23" s="827"/>
      <c r="H23" s="827"/>
      <c r="I23" s="827"/>
      <c r="J23" s="827"/>
    </row>
    <row r="24" spans="1:252" ht="15.75" x14ac:dyDescent="0.2">
      <c r="A24" s="477"/>
      <c r="B24" s="461"/>
      <c r="C24" s="461"/>
      <c r="D24" s="461"/>
      <c r="E24" s="461"/>
      <c r="F24" s="461"/>
      <c r="G24" s="188"/>
      <c r="H24" s="188"/>
      <c r="I24" s="513"/>
      <c r="J24" s="513"/>
    </row>
    <row r="25" spans="1:252" x14ac:dyDescent="0.2">
      <c r="A25" s="509" t="s">
        <v>69</v>
      </c>
      <c r="B25" s="510"/>
      <c r="C25" s="414" t="s">
        <v>558</v>
      </c>
      <c r="D25" s="828" t="s">
        <v>559</v>
      </c>
      <c r="E25" s="829"/>
      <c r="F25" s="830"/>
      <c r="G25" s="828" t="s">
        <v>560</v>
      </c>
      <c r="H25" s="829"/>
      <c r="I25" s="830"/>
      <c r="J25" s="415" t="s">
        <v>561</v>
      </c>
    </row>
    <row r="26" spans="1:252" x14ac:dyDescent="0.2">
      <c r="A26" s="511">
        <v>1</v>
      </c>
      <c r="B26" s="511"/>
      <c r="C26" s="418">
        <v>44562</v>
      </c>
      <c r="D26" s="831">
        <v>85344.75</v>
      </c>
      <c r="E26" s="832"/>
      <c r="F26" s="833"/>
      <c r="G26" s="831">
        <v>92273.34</v>
      </c>
      <c r="H26" s="832"/>
      <c r="I26" s="833"/>
      <c r="J26" s="409">
        <f>G26-D26</f>
        <v>6928.5899999999965</v>
      </c>
    </row>
    <row r="27" spans="1:252" x14ac:dyDescent="0.2">
      <c r="A27" s="511">
        <v>2</v>
      </c>
      <c r="B27" s="511"/>
      <c r="C27" s="418">
        <v>44593</v>
      </c>
      <c r="D27" s="831">
        <v>85344.75</v>
      </c>
      <c r="E27" s="832"/>
      <c r="F27" s="833"/>
      <c r="G27" s="831">
        <v>92273.34</v>
      </c>
      <c r="H27" s="832"/>
      <c r="I27" s="833"/>
      <c r="J27" s="409">
        <f>G27-D27</f>
        <v>6928.5899999999965</v>
      </c>
    </row>
    <row r="28" spans="1:252" ht="15" customHeight="1" x14ac:dyDescent="0.2">
      <c r="A28" s="463" t="s">
        <v>562</v>
      </c>
      <c r="B28" s="464"/>
      <c r="C28" s="464"/>
      <c r="D28" s="464"/>
      <c r="E28" s="464"/>
      <c r="F28" s="464"/>
      <c r="G28" s="464"/>
      <c r="H28" s="464"/>
      <c r="I28" s="834"/>
      <c r="J28" s="410">
        <f>SUM(J26:J27)</f>
        <v>13857.179999999993</v>
      </c>
      <c r="K28" s="419">
        <f>J27*3</f>
        <v>20785.76999999999</v>
      </c>
    </row>
    <row r="29" spans="1:252" x14ac:dyDescent="0.2">
      <c r="A29" s="452"/>
      <c r="B29" s="453"/>
      <c r="C29" s="453"/>
      <c r="D29" s="453"/>
      <c r="E29" s="453"/>
      <c r="F29" s="453"/>
      <c r="G29" s="453"/>
      <c r="H29" s="453"/>
      <c r="I29" s="453"/>
      <c r="J29" s="453"/>
    </row>
    <row r="30" spans="1:252" x14ac:dyDescent="0.2">
      <c r="A30" s="824" t="s">
        <v>78</v>
      </c>
      <c r="B30" s="825"/>
      <c r="C30" s="825"/>
      <c r="D30" s="825"/>
      <c r="E30" s="825"/>
      <c r="F30" s="825"/>
      <c r="G30" s="825"/>
      <c r="H30" s="825"/>
      <c r="I30" s="826"/>
      <c r="J30" s="411">
        <f>J28</f>
        <v>13857.179999999993</v>
      </c>
      <c r="K30" s="419">
        <f>K28*11%</f>
        <v>2286.4346999999989</v>
      </c>
    </row>
    <row r="31" spans="1:252" x14ac:dyDescent="0.2">
      <c r="A31" s="468" t="s">
        <v>563</v>
      </c>
      <c r="B31" s="468"/>
      <c r="C31" s="468"/>
      <c r="D31" s="468"/>
      <c r="E31" s="468"/>
      <c r="F31" s="468"/>
      <c r="G31" s="468"/>
      <c r="H31" s="468"/>
      <c r="I31" s="468"/>
      <c r="J31" s="468"/>
      <c r="K31" s="419">
        <f>K28*5%</f>
        <v>1039.2884999999994</v>
      </c>
    </row>
    <row r="32" spans="1:252" x14ac:dyDescent="0.2">
      <c r="K32" s="419">
        <f>K28*3.65%</f>
        <v>758.68060499999956</v>
      </c>
    </row>
    <row r="33" spans="11:11" x14ac:dyDescent="0.2">
      <c r="K33" s="419">
        <f>K28*4.8%</f>
        <v>997.71695999999952</v>
      </c>
    </row>
    <row r="34" spans="11:11" x14ac:dyDescent="0.2">
      <c r="K34" s="419">
        <f>SUM(K30:K33)</f>
        <v>5082.1207649999978</v>
      </c>
    </row>
    <row r="35" spans="11:11" x14ac:dyDescent="0.2">
      <c r="K35" s="419">
        <f>K28-K34</f>
        <v>15703.649234999992</v>
      </c>
    </row>
  </sheetData>
  <mergeCells count="34">
    <mergeCell ref="A29:J29"/>
    <mergeCell ref="A30:I30"/>
    <mergeCell ref="A31:J31"/>
    <mergeCell ref="D25:F25"/>
    <mergeCell ref="D26:F26"/>
    <mergeCell ref="D27:F27"/>
    <mergeCell ref="G25:I25"/>
    <mergeCell ref="G26:I26"/>
    <mergeCell ref="G27:I27"/>
    <mergeCell ref="A28:I28"/>
    <mergeCell ref="A26:B26"/>
    <mergeCell ref="A27:B27"/>
    <mergeCell ref="A22:J22"/>
    <mergeCell ref="A23:J23"/>
    <mergeCell ref="A24:F24"/>
    <mergeCell ref="I24:J24"/>
    <mergeCell ref="A25:B25"/>
    <mergeCell ref="A10:F10"/>
    <mergeCell ref="I10:J10"/>
    <mergeCell ref="A11:B11"/>
    <mergeCell ref="C2:J2"/>
    <mergeCell ref="H5:J5"/>
    <mergeCell ref="A6:I6"/>
    <mergeCell ref="A7:I7"/>
    <mergeCell ref="A9:J9"/>
    <mergeCell ref="A18:I18"/>
    <mergeCell ref="A17:J17"/>
    <mergeCell ref="A19:J19"/>
    <mergeCell ref="A12:B12"/>
    <mergeCell ref="D12:D15"/>
    <mergeCell ref="A13:B13"/>
    <mergeCell ref="A14:B14"/>
    <mergeCell ref="A15:B15"/>
    <mergeCell ref="A16:D16"/>
  </mergeCells>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60"/>
  <sheetViews>
    <sheetView view="pageBreakPreview" topLeftCell="G8" zoomScaleNormal="100" zoomScaleSheetLayoutView="100" workbookViewId="0">
      <selection activeCell="I67" sqref="I67"/>
    </sheetView>
  </sheetViews>
  <sheetFormatPr defaultRowHeight="15" x14ac:dyDescent="0.25"/>
  <cols>
    <col min="1" max="1" width="6.42578125" customWidth="1"/>
    <col min="3" max="3" width="17.28515625" customWidth="1"/>
    <col min="4" max="4" width="10.85546875" bestFit="1" customWidth="1"/>
    <col min="5" max="5" width="16.140625" customWidth="1"/>
    <col min="6" max="6" width="16.5703125" customWidth="1"/>
    <col min="7" max="8" width="13.5703125" customWidth="1"/>
    <col min="9" max="9" width="13.85546875" customWidth="1"/>
    <col min="10" max="10" width="13.42578125" customWidth="1"/>
    <col min="11" max="11" width="16.28515625" customWidth="1"/>
    <col min="12" max="12" width="12.5703125" customWidth="1"/>
    <col min="13" max="13" width="8.140625" customWidth="1"/>
    <col min="14" max="14" width="15.5703125" customWidth="1"/>
    <col min="15" max="17" width="13.85546875" customWidth="1"/>
    <col min="18" max="19" width="15.5703125" customWidth="1"/>
    <col min="20" max="20" width="8.140625" customWidth="1"/>
    <col min="21" max="21" width="15.85546875" hidden="1" customWidth="1"/>
    <col min="22" max="22" width="13.7109375" hidden="1" customWidth="1"/>
    <col min="23" max="24" width="19.85546875" hidden="1" customWidth="1"/>
    <col min="25" max="25" width="8.7109375" hidden="1" customWidth="1"/>
    <col min="26" max="26" width="15.85546875" hidden="1" customWidth="1"/>
    <col min="27" max="27" width="20.85546875" hidden="1" customWidth="1"/>
    <col min="28" max="28" width="34" customWidth="1"/>
    <col min="259" max="259" width="6.42578125" customWidth="1"/>
    <col min="261" max="261" width="17.28515625" customWidth="1"/>
    <col min="262" max="262" width="10.85546875" bestFit="1" customWidth="1"/>
    <col min="263" max="263" width="16.140625" customWidth="1"/>
    <col min="264" max="264" width="16.5703125" customWidth="1"/>
    <col min="265" max="266" width="13.5703125" customWidth="1"/>
    <col min="267" max="267" width="13.85546875" customWidth="1"/>
    <col min="268" max="268" width="13.42578125" customWidth="1"/>
    <col min="269" max="269" width="16.28515625" customWidth="1"/>
    <col min="270" max="270" width="12.5703125" customWidth="1"/>
    <col min="271" max="271" width="8.140625" customWidth="1"/>
    <col min="272" max="272" width="15.5703125" customWidth="1"/>
    <col min="273" max="273" width="12.28515625" customWidth="1"/>
    <col min="274" max="275" width="15.5703125" customWidth="1"/>
    <col min="276" max="276" width="8.140625" customWidth="1"/>
    <col min="277" max="283" width="0" hidden="1" customWidth="1"/>
    <col min="284" max="284" width="34" customWidth="1"/>
    <col min="515" max="515" width="6.42578125" customWidth="1"/>
    <col min="517" max="517" width="17.28515625" customWidth="1"/>
    <col min="518" max="518" width="10.85546875" bestFit="1" customWidth="1"/>
    <col min="519" max="519" width="16.140625" customWidth="1"/>
    <col min="520" max="520" width="16.5703125" customWidth="1"/>
    <col min="521" max="522" width="13.5703125" customWidth="1"/>
    <col min="523" max="523" width="13.85546875" customWidth="1"/>
    <col min="524" max="524" width="13.42578125" customWidth="1"/>
    <col min="525" max="525" width="16.28515625" customWidth="1"/>
    <col min="526" max="526" width="12.5703125" customWidth="1"/>
    <col min="527" max="527" width="8.140625" customWidth="1"/>
    <col min="528" max="528" width="15.5703125" customWidth="1"/>
    <col min="529" max="529" width="12.28515625" customWidth="1"/>
    <col min="530" max="531" width="15.5703125" customWidth="1"/>
    <col min="532" max="532" width="8.140625" customWidth="1"/>
    <col min="533" max="539" width="0" hidden="1" customWidth="1"/>
    <col min="540" max="540" width="34" customWidth="1"/>
    <col min="771" max="771" width="6.42578125" customWidth="1"/>
    <col min="773" max="773" width="17.28515625" customWidth="1"/>
    <col min="774" max="774" width="10.85546875" bestFit="1" customWidth="1"/>
    <col min="775" max="775" width="16.140625" customWidth="1"/>
    <col min="776" max="776" width="16.5703125" customWidth="1"/>
    <col min="777" max="778" width="13.5703125" customWidth="1"/>
    <col min="779" max="779" width="13.85546875" customWidth="1"/>
    <col min="780" max="780" width="13.42578125" customWidth="1"/>
    <col min="781" max="781" width="16.28515625" customWidth="1"/>
    <col min="782" max="782" width="12.5703125" customWidth="1"/>
    <col min="783" max="783" width="8.140625" customWidth="1"/>
    <col min="784" max="784" width="15.5703125" customWidth="1"/>
    <col min="785" max="785" width="12.28515625" customWidth="1"/>
    <col min="786" max="787" width="15.5703125" customWidth="1"/>
    <col min="788" max="788" width="8.140625" customWidth="1"/>
    <col min="789" max="795" width="0" hidden="1" customWidth="1"/>
    <col min="796" max="796" width="34" customWidth="1"/>
    <col min="1027" max="1027" width="6.42578125" customWidth="1"/>
    <col min="1029" max="1029" width="17.28515625" customWidth="1"/>
    <col min="1030" max="1030" width="10.85546875" bestFit="1" customWidth="1"/>
    <col min="1031" max="1031" width="16.140625" customWidth="1"/>
    <col min="1032" max="1032" width="16.5703125" customWidth="1"/>
    <col min="1033" max="1034" width="13.5703125" customWidth="1"/>
    <col min="1035" max="1035" width="13.85546875" customWidth="1"/>
    <col min="1036" max="1036" width="13.42578125" customWidth="1"/>
    <col min="1037" max="1037" width="16.28515625" customWidth="1"/>
    <col min="1038" max="1038" width="12.5703125" customWidth="1"/>
    <col min="1039" max="1039" width="8.140625" customWidth="1"/>
    <col min="1040" max="1040" width="15.5703125" customWidth="1"/>
    <col min="1041" max="1041" width="12.28515625" customWidth="1"/>
    <col min="1042" max="1043" width="15.5703125" customWidth="1"/>
    <col min="1044" max="1044" width="8.140625" customWidth="1"/>
    <col min="1045" max="1051" width="0" hidden="1" customWidth="1"/>
    <col min="1052" max="1052" width="34" customWidth="1"/>
    <col min="1283" max="1283" width="6.42578125" customWidth="1"/>
    <col min="1285" max="1285" width="17.28515625" customWidth="1"/>
    <col min="1286" max="1286" width="10.85546875" bestFit="1" customWidth="1"/>
    <col min="1287" max="1287" width="16.140625" customWidth="1"/>
    <col min="1288" max="1288" width="16.5703125" customWidth="1"/>
    <col min="1289" max="1290" width="13.5703125" customWidth="1"/>
    <col min="1291" max="1291" width="13.85546875" customWidth="1"/>
    <col min="1292" max="1292" width="13.42578125" customWidth="1"/>
    <col min="1293" max="1293" width="16.28515625" customWidth="1"/>
    <col min="1294" max="1294" width="12.5703125" customWidth="1"/>
    <col min="1295" max="1295" width="8.140625" customWidth="1"/>
    <col min="1296" max="1296" width="15.5703125" customWidth="1"/>
    <col min="1297" max="1297" width="12.28515625" customWidth="1"/>
    <col min="1298" max="1299" width="15.5703125" customWidth="1"/>
    <col min="1300" max="1300" width="8.140625" customWidth="1"/>
    <col min="1301" max="1307" width="0" hidden="1" customWidth="1"/>
    <col min="1308" max="1308" width="34" customWidth="1"/>
    <col min="1539" max="1539" width="6.42578125" customWidth="1"/>
    <col min="1541" max="1541" width="17.28515625" customWidth="1"/>
    <col min="1542" max="1542" width="10.85546875" bestFit="1" customWidth="1"/>
    <col min="1543" max="1543" width="16.140625" customWidth="1"/>
    <col min="1544" max="1544" width="16.5703125" customWidth="1"/>
    <col min="1545" max="1546" width="13.5703125" customWidth="1"/>
    <col min="1547" max="1547" width="13.85546875" customWidth="1"/>
    <col min="1548" max="1548" width="13.42578125" customWidth="1"/>
    <col min="1549" max="1549" width="16.28515625" customWidth="1"/>
    <col min="1550" max="1550" width="12.5703125" customWidth="1"/>
    <col min="1551" max="1551" width="8.140625" customWidth="1"/>
    <col min="1552" max="1552" width="15.5703125" customWidth="1"/>
    <col min="1553" max="1553" width="12.28515625" customWidth="1"/>
    <col min="1554" max="1555" width="15.5703125" customWidth="1"/>
    <col min="1556" max="1556" width="8.140625" customWidth="1"/>
    <col min="1557" max="1563" width="0" hidden="1" customWidth="1"/>
    <col min="1564" max="1564" width="34" customWidth="1"/>
    <col min="1795" max="1795" width="6.42578125" customWidth="1"/>
    <col min="1797" max="1797" width="17.28515625" customWidth="1"/>
    <col min="1798" max="1798" width="10.85546875" bestFit="1" customWidth="1"/>
    <col min="1799" max="1799" width="16.140625" customWidth="1"/>
    <col min="1800" max="1800" width="16.5703125" customWidth="1"/>
    <col min="1801" max="1802" width="13.5703125" customWidth="1"/>
    <col min="1803" max="1803" width="13.85546875" customWidth="1"/>
    <col min="1804" max="1804" width="13.42578125" customWidth="1"/>
    <col min="1805" max="1805" width="16.28515625" customWidth="1"/>
    <col min="1806" max="1806" width="12.5703125" customWidth="1"/>
    <col min="1807" max="1807" width="8.140625" customWidth="1"/>
    <col min="1808" max="1808" width="15.5703125" customWidth="1"/>
    <col min="1809" max="1809" width="12.28515625" customWidth="1"/>
    <col min="1810" max="1811" width="15.5703125" customWidth="1"/>
    <col min="1812" max="1812" width="8.140625" customWidth="1"/>
    <col min="1813" max="1819" width="0" hidden="1" customWidth="1"/>
    <col min="1820" max="1820" width="34" customWidth="1"/>
    <col min="2051" max="2051" width="6.42578125" customWidth="1"/>
    <col min="2053" max="2053" width="17.28515625" customWidth="1"/>
    <col min="2054" max="2054" width="10.85546875" bestFit="1" customWidth="1"/>
    <col min="2055" max="2055" width="16.140625" customWidth="1"/>
    <col min="2056" max="2056" width="16.5703125" customWidth="1"/>
    <col min="2057" max="2058" width="13.5703125" customWidth="1"/>
    <col min="2059" max="2059" width="13.85546875" customWidth="1"/>
    <col min="2060" max="2060" width="13.42578125" customWidth="1"/>
    <col min="2061" max="2061" width="16.28515625" customWidth="1"/>
    <col min="2062" max="2062" width="12.5703125" customWidth="1"/>
    <col min="2063" max="2063" width="8.140625" customWidth="1"/>
    <col min="2064" max="2064" width="15.5703125" customWidth="1"/>
    <col min="2065" max="2065" width="12.28515625" customWidth="1"/>
    <col min="2066" max="2067" width="15.5703125" customWidth="1"/>
    <col min="2068" max="2068" width="8.140625" customWidth="1"/>
    <col min="2069" max="2075" width="0" hidden="1" customWidth="1"/>
    <col min="2076" max="2076" width="34" customWidth="1"/>
    <col min="2307" max="2307" width="6.42578125" customWidth="1"/>
    <col min="2309" max="2309" width="17.28515625" customWidth="1"/>
    <col min="2310" max="2310" width="10.85546875" bestFit="1" customWidth="1"/>
    <col min="2311" max="2311" width="16.140625" customWidth="1"/>
    <col min="2312" max="2312" width="16.5703125" customWidth="1"/>
    <col min="2313" max="2314" width="13.5703125" customWidth="1"/>
    <col min="2315" max="2315" width="13.85546875" customWidth="1"/>
    <col min="2316" max="2316" width="13.42578125" customWidth="1"/>
    <col min="2317" max="2317" width="16.28515625" customWidth="1"/>
    <col min="2318" max="2318" width="12.5703125" customWidth="1"/>
    <col min="2319" max="2319" width="8.140625" customWidth="1"/>
    <col min="2320" max="2320" width="15.5703125" customWidth="1"/>
    <col min="2321" max="2321" width="12.28515625" customWidth="1"/>
    <col min="2322" max="2323" width="15.5703125" customWidth="1"/>
    <col min="2324" max="2324" width="8.140625" customWidth="1"/>
    <col min="2325" max="2331" width="0" hidden="1" customWidth="1"/>
    <col min="2332" max="2332" width="34" customWidth="1"/>
    <col min="2563" max="2563" width="6.42578125" customWidth="1"/>
    <col min="2565" max="2565" width="17.28515625" customWidth="1"/>
    <col min="2566" max="2566" width="10.85546875" bestFit="1" customWidth="1"/>
    <col min="2567" max="2567" width="16.140625" customWidth="1"/>
    <col min="2568" max="2568" width="16.5703125" customWidth="1"/>
    <col min="2569" max="2570" width="13.5703125" customWidth="1"/>
    <col min="2571" max="2571" width="13.85546875" customWidth="1"/>
    <col min="2572" max="2572" width="13.42578125" customWidth="1"/>
    <col min="2573" max="2573" width="16.28515625" customWidth="1"/>
    <col min="2574" max="2574" width="12.5703125" customWidth="1"/>
    <col min="2575" max="2575" width="8.140625" customWidth="1"/>
    <col min="2576" max="2576" width="15.5703125" customWidth="1"/>
    <col min="2577" max="2577" width="12.28515625" customWidth="1"/>
    <col min="2578" max="2579" width="15.5703125" customWidth="1"/>
    <col min="2580" max="2580" width="8.140625" customWidth="1"/>
    <col min="2581" max="2587" width="0" hidden="1" customWidth="1"/>
    <col min="2588" max="2588" width="34" customWidth="1"/>
    <col min="2819" max="2819" width="6.42578125" customWidth="1"/>
    <col min="2821" max="2821" width="17.28515625" customWidth="1"/>
    <col min="2822" max="2822" width="10.85546875" bestFit="1" customWidth="1"/>
    <col min="2823" max="2823" width="16.140625" customWidth="1"/>
    <col min="2824" max="2824" width="16.5703125" customWidth="1"/>
    <col min="2825" max="2826" width="13.5703125" customWidth="1"/>
    <col min="2827" max="2827" width="13.85546875" customWidth="1"/>
    <col min="2828" max="2828" width="13.42578125" customWidth="1"/>
    <col min="2829" max="2829" width="16.28515625" customWidth="1"/>
    <col min="2830" max="2830" width="12.5703125" customWidth="1"/>
    <col min="2831" max="2831" width="8.140625" customWidth="1"/>
    <col min="2832" max="2832" width="15.5703125" customWidth="1"/>
    <col min="2833" max="2833" width="12.28515625" customWidth="1"/>
    <col min="2834" max="2835" width="15.5703125" customWidth="1"/>
    <col min="2836" max="2836" width="8.140625" customWidth="1"/>
    <col min="2837" max="2843" width="0" hidden="1" customWidth="1"/>
    <col min="2844" max="2844" width="34" customWidth="1"/>
    <col min="3075" max="3075" width="6.42578125" customWidth="1"/>
    <col min="3077" max="3077" width="17.28515625" customWidth="1"/>
    <col min="3078" max="3078" width="10.85546875" bestFit="1" customWidth="1"/>
    <col min="3079" max="3079" width="16.140625" customWidth="1"/>
    <col min="3080" max="3080" width="16.5703125" customWidth="1"/>
    <col min="3081" max="3082" width="13.5703125" customWidth="1"/>
    <col min="3083" max="3083" width="13.85546875" customWidth="1"/>
    <col min="3084" max="3084" width="13.42578125" customWidth="1"/>
    <col min="3085" max="3085" width="16.28515625" customWidth="1"/>
    <col min="3086" max="3086" width="12.5703125" customWidth="1"/>
    <col min="3087" max="3087" width="8.140625" customWidth="1"/>
    <col min="3088" max="3088" width="15.5703125" customWidth="1"/>
    <col min="3089" max="3089" width="12.28515625" customWidth="1"/>
    <col min="3090" max="3091" width="15.5703125" customWidth="1"/>
    <col min="3092" max="3092" width="8.140625" customWidth="1"/>
    <col min="3093" max="3099" width="0" hidden="1" customWidth="1"/>
    <col min="3100" max="3100" width="34" customWidth="1"/>
    <col min="3331" max="3331" width="6.42578125" customWidth="1"/>
    <col min="3333" max="3333" width="17.28515625" customWidth="1"/>
    <col min="3334" max="3334" width="10.85546875" bestFit="1" customWidth="1"/>
    <col min="3335" max="3335" width="16.140625" customWidth="1"/>
    <col min="3336" max="3336" width="16.5703125" customWidth="1"/>
    <col min="3337" max="3338" width="13.5703125" customWidth="1"/>
    <col min="3339" max="3339" width="13.85546875" customWidth="1"/>
    <col min="3340" max="3340" width="13.42578125" customWidth="1"/>
    <col min="3341" max="3341" width="16.28515625" customWidth="1"/>
    <col min="3342" max="3342" width="12.5703125" customWidth="1"/>
    <col min="3343" max="3343" width="8.140625" customWidth="1"/>
    <col min="3344" max="3344" width="15.5703125" customWidth="1"/>
    <col min="3345" max="3345" width="12.28515625" customWidth="1"/>
    <col min="3346" max="3347" width="15.5703125" customWidth="1"/>
    <col min="3348" max="3348" width="8.140625" customWidth="1"/>
    <col min="3349" max="3355" width="0" hidden="1" customWidth="1"/>
    <col min="3356" max="3356" width="34" customWidth="1"/>
    <col min="3587" max="3587" width="6.42578125" customWidth="1"/>
    <col min="3589" max="3589" width="17.28515625" customWidth="1"/>
    <col min="3590" max="3590" width="10.85546875" bestFit="1" customWidth="1"/>
    <col min="3591" max="3591" width="16.140625" customWidth="1"/>
    <col min="3592" max="3592" width="16.5703125" customWidth="1"/>
    <col min="3593" max="3594" width="13.5703125" customWidth="1"/>
    <col min="3595" max="3595" width="13.85546875" customWidth="1"/>
    <col min="3596" max="3596" width="13.42578125" customWidth="1"/>
    <col min="3597" max="3597" width="16.28515625" customWidth="1"/>
    <col min="3598" max="3598" width="12.5703125" customWidth="1"/>
    <col min="3599" max="3599" width="8.140625" customWidth="1"/>
    <col min="3600" max="3600" width="15.5703125" customWidth="1"/>
    <col min="3601" max="3601" width="12.28515625" customWidth="1"/>
    <col min="3602" max="3603" width="15.5703125" customWidth="1"/>
    <col min="3604" max="3604" width="8.140625" customWidth="1"/>
    <col min="3605" max="3611" width="0" hidden="1" customWidth="1"/>
    <col min="3612" max="3612" width="34" customWidth="1"/>
    <col min="3843" max="3843" width="6.42578125" customWidth="1"/>
    <col min="3845" max="3845" width="17.28515625" customWidth="1"/>
    <col min="3846" max="3846" width="10.85546875" bestFit="1" customWidth="1"/>
    <col min="3847" max="3847" width="16.140625" customWidth="1"/>
    <col min="3848" max="3848" width="16.5703125" customWidth="1"/>
    <col min="3849" max="3850" width="13.5703125" customWidth="1"/>
    <col min="3851" max="3851" width="13.85546875" customWidth="1"/>
    <col min="3852" max="3852" width="13.42578125" customWidth="1"/>
    <col min="3853" max="3853" width="16.28515625" customWidth="1"/>
    <col min="3854" max="3854" width="12.5703125" customWidth="1"/>
    <col min="3855" max="3855" width="8.140625" customWidth="1"/>
    <col min="3856" max="3856" width="15.5703125" customWidth="1"/>
    <col min="3857" max="3857" width="12.28515625" customWidth="1"/>
    <col min="3858" max="3859" width="15.5703125" customWidth="1"/>
    <col min="3860" max="3860" width="8.140625" customWidth="1"/>
    <col min="3861" max="3867" width="0" hidden="1" customWidth="1"/>
    <col min="3868" max="3868" width="34" customWidth="1"/>
    <col min="4099" max="4099" width="6.42578125" customWidth="1"/>
    <col min="4101" max="4101" width="17.28515625" customWidth="1"/>
    <col min="4102" max="4102" width="10.85546875" bestFit="1" customWidth="1"/>
    <col min="4103" max="4103" width="16.140625" customWidth="1"/>
    <col min="4104" max="4104" width="16.5703125" customWidth="1"/>
    <col min="4105" max="4106" width="13.5703125" customWidth="1"/>
    <col min="4107" max="4107" width="13.85546875" customWidth="1"/>
    <col min="4108" max="4108" width="13.42578125" customWidth="1"/>
    <col min="4109" max="4109" width="16.28515625" customWidth="1"/>
    <col min="4110" max="4110" width="12.5703125" customWidth="1"/>
    <col min="4111" max="4111" width="8.140625" customWidth="1"/>
    <col min="4112" max="4112" width="15.5703125" customWidth="1"/>
    <col min="4113" max="4113" width="12.28515625" customWidth="1"/>
    <col min="4114" max="4115" width="15.5703125" customWidth="1"/>
    <col min="4116" max="4116" width="8.140625" customWidth="1"/>
    <col min="4117" max="4123" width="0" hidden="1" customWidth="1"/>
    <col min="4124" max="4124" width="34" customWidth="1"/>
    <col min="4355" max="4355" width="6.42578125" customWidth="1"/>
    <col min="4357" max="4357" width="17.28515625" customWidth="1"/>
    <col min="4358" max="4358" width="10.85546875" bestFit="1" customWidth="1"/>
    <col min="4359" max="4359" width="16.140625" customWidth="1"/>
    <col min="4360" max="4360" width="16.5703125" customWidth="1"/>
    <col min="4361" max="4362" width="13.5703125" customWidth="1"/>
    <col min="4363" max="4363" width="13.85546875" customWidth="1"/>
    <col min="4364" max="4364" width="13.42578125" customWidth="1"/>
    <col min="4365" max="4365" width="16.28515625" customWidth="1"/>
    <col min="4366" max="4366" width="12.5703125" customWidth="1"/>
    <col min="4367" max="4367" width="8.140625" customWidth="1"/>
    <col min="4368" max="4368" width="15.5703125" customWidth="1"/>
    <col min="4369" max="4369" width="12.28515625" customWidth="1"/>
    <col min="4370" max="4371" width="15.5703125" customWidth="1"/>
    <col min="4372" max="4372" width="8.140625" customWidth="1"/>
    <col min="4373" max="4379" width="0" hidden="1" customWidth="1"/>
    <col min="4380" max="4380" width="34" customWidth="1"/>
    <col min="4611" max="4611" width="6.42578125" customWidth="1"/>
    <col min="4613" max="4613" width="17.28515625" customWidth="1"/>
    <col min="4614" max="4614" width="10.85546875" bestFit="1" customWidth="1"/>
    <col min="4615" max="4615" width="16.140625" customWidth="1"/>
    <col min="4616" max="4616" width="16.5703125" customWidth="1"/>
    <col min="4617" max="4618" width="13.5703125" customWidth="1"/>
    <col min="4619" max="4619" width="13.85546875" customWidth="1"/>
    <col min="4620" max="4620" width="13.42578125" customWidth="1"/>
    <col min="4621" max="4621" width="16.28515625" customWidth="1"/>
    <col min="4622" max="4622" width="12.5703125" customWidth="1"/>
    <col min="4623" max="4623" width="8.140625" customWidth="1"/>
    <col min="4624" max="4624" width="15.5703125" customWidth="1"/>
    <col min="4625" max="4625" width="12.28515625" customWidth="1"/>
    <col min="4626" max="4627" width="15.5703125" customWidth="1"/>
    <col min="4628" max="4628" width="8.140625" customWidth="1"/>
    <col min="4629" max="4635" width="0" hidden="1" customWidth="1"/>
    <col min="4636" max="4636" width="34" customWidth="1"/>
    <col min="4867" max="4867" width="6.42578125" customWidth="1"/>
    <col min="4869" max="4869" width="17.28515625" customWidth="1"/>
    <col min="4870" max="4870" width="10.85546875" bestFit="1" customWidth="1"/>
    <col min="4871" max="4871" width="16.140625" customWidth="1"/>
    <col min="4872" max="4872" width="16.5703125" customWidth="1"/>
    <col min="4873" max="4874" width="13.5703125" customWidth="1"/>
    <col min="4875" max="4875" width="13.85546875" customWidth="1"/>
    <col min="4876" max="4876" width="13.42578125" customWidth="1"/>
    <col min="4877" max="4877" width="16.28515625" customWidth="1"/>
    <col min="4878" max="4878" width="12.5703125" customWidth="1"/>
    <col min="4879" max="4879" width="8.140625" customWidth="1"/>
    <col min="4880" max="4880" width="15.5703125" customWidth="1"/>
    <col min="4881" max="4881" width="12.28515625" customWidth="1"/>
    <col min="4882" max="4883" width="15.5703125" customWidth="1"/>
    <col min="4884" max="4884" width="8.140625" customWidth="1"/>
    <col min="4885" max="4891" width="0" hidden="1" customWidth="1"/>
    <col min="4892" max="4892" width="34" customWidth="1"/>
    <col min="5123" max="5123" width="6.42578125" customWidth="1"/>
    <col min="5125" max="5125" width="17.28515625" customWidth="1"/>
    <col min="5126" max="5126" width="10.85546875" bestFit="1" customWidth="1"/>
    <col min="5127" max="5127" width="16.140625" customWidth="1"/>
    <col min="5128" max="5128" width="16.5703125" customWidth="1"/>
    <col min="5129" max="5130" width="13.5703125" customWidth="1"/>
    <col min="5131" max="5131" width="13.85546875" customWidth="1"/>
    <col min="5132" max="5132" width="13.42578125" customWidth="1"/>
    <col min="5133" max="5133" width="16.28515625" customWidth="1"/>
    <col min="5134" max="5134" width="12.5703125" customWidth="1"/>
    <col min="5135" max="5135" width="8.140625" customWidth="1"/>
    <col min="5136" max="5136" width="15.5703125" customWidth="1"/>
    <col min="5137" max="5137" width="12.28515625" customWidth="1"/>
    <col min="5138" max="5139" width="15.5703125" customWidth="1"/>
    <col min="5140" max="5140" width="8.140625" customWidth="1"/>
    <col min="5141" max="5147" width="0" hidden="1" customWidth="1"/>
    <col min="5148" max="5148" width="34" customWidth="1"/>
    <col min="5379" max="5379" width="6.42578125" customWidth="1"/>
    <col min="5381" max="5381" width="17.28515625" customWidth="1"/>
    <col min="5382" max="5382" width="10.85546875" bestFit="1" customWidth="1"/>
    <col min="5383" max="5383" width="16.140625" customWidth="1"/>
    <col min="5384" max="5384" width="16.5703125" customWidth="1"/>
    <col min="5385" max="5386" width="13.5703125" customWidth="1"/>
    <col min="5387" max="5387" width="13.85546875" customWidth="1"/>
    <col min="5388" max="5388" width="13.42578125" customWidth="1"/>
    <col min="5389" max="5389" width="16.28515625" customWidth="1"/>
    <col min="5390" max="5390" width="12.5703125" customWidth="1"/>
    <col min="5391" max="5391" width="8.140625" customWidth="1"/>
    <col min="5392" max="5392" width="15.5703125" customWidth="1"/>
    <col min="5393" max="5393" width="12.28515625" customWidth="1"/>
    <col min="5394" max="5395" width="15.5703125" customWidth="1"/>
    <col min="5396" max="5396" width="8.140625" customWidth="1"/>
    <col min="5397" max="5403" width="0" hidden="1" customWidth="1"/>
    <col min="5404" max="5404" width="34" customWidth="1"/>
    <col min="5635" max="5635" width="6.42578125" customWidth="1"/>
    <col min="5637" max="5637" width="17.28515625" customWidth="1"/>
    <col min="5638" max="5638" width="10.85546875" bestFit="1" customWidth="1"/>
    <col min="5639" max="5639" width="16.140625" customWidth="1"/>
    <col min="5640" max="5640" width="16.5703125" customWidth="1"/>
    <col min="5641" max="5642" width="13.5703125" customWidth="1"/>
    <col min="5643" max="5643" width="13.85546875" customWidth="1"/>
    <col min="5644" max="5644" width="13.42578125" customWidth="1"/>
    <col min="5645" max="5645" width="16.28515625" customWidth="1"/>
    <col min="5646" max="5646" width="12.5703125" customWidth="1"/>
    <col min="5647" max="5647" width="8.140625" customWidth="1"/>
    <col min="5648" max="5648" width="15.5703125" customWidth="1"/>
    <col min="5649" max="5649" width="12.28515625" customWidth="1"/>
    <col min="5650" max="5651" width="15.5703125" customWidth="1"/>
    <col min="5652" max="5652" width="8.140625" customWidth="1"/>
    <col min="5653" max="5659" width="0" hidden="1" customWidth="1"/>
    <col min="5660" max="5660" width="34" customWidth="1"/>
    <col min="5891" max="5891" width="6.42578125" customWidth="1"/>
    <col min="5893" max="5893" width="17.28515625" customWidth="1"/>
    <col min="5894" max="5894" width="10.85546875" bestFit="1" customWidth="1"/>
    <col min="5895" max="5895" width="16.140625" customWidth="1"/>
    <col min="5896" max="5896" width="16.5703125" customWidth="1"/>
    <col min="5897" max="5898" width="13.5703125" customWidth="1"/>
    <col min="5899" max="5899" width="13.85546875" customWidth="1"/>
    <col min="5900" max="5900" width="13.42578125" customWidth="1"/>
    <col min="5901" max="5901" width="16.28515625" customWidth="1"/>
    <col min="5902" max="5902" width="12.5703125" customWidth="1"/>
    <col min="5903" max="5903" width="8.140625" customWidth="1"/>
    <col min="5904" max="5904" width="15.5703125" customWidth="1"/>
    <col min="5905" max="5905" width="12.28515625" customWidth="1"/>
    <col min="5906" max="5907" width="15.5703125" customWidth="1"/>
    <col min="5908" max="5908" width="8.140625" customWidth="1"/>
    <col min="5909" max="5915" width="0" hidden="1" customWidth="1"/>
    <col min="5916" max="5916" width="34" customWidth="1"/>
    <col min="6147" max="6147" width="6.42578125" customWidth="1"/>
    <col min="6149" max="6149" width="17.28515625" customWidth="1"/>
    <col min="6150" max="6150" width="10.85546875" bestFit="1" customWidth="1"/>
    <col min="6151" max="6151" width="16.140625" customWidth="1"/>
    <col min="6152" max="6152" width="16.5703125" customWidth="1"/>
    <col min="6153" max="6154" width="13.5703125" customWidth="1"/>
    <col min="6155" max="6155" width="13.85546875" customWidth="1"/>
    <col min="6156" max="6156" width="13.42578125" customWidth="1"/>
    <col min="6157" max="6157" width="16.28515625" customWidth="1"/>
    <col min="6158" max="6158" width="12.5703125" customWidth="1"/>
    <col min="6159" max="6159" width="8.140625" customWidth="1"/>
    <col min="6160" max="6160" width="15.5703125" customWidth="1"/>
    <col min="6161" max="6161" width="12.28515625" customWidth="1"/>
    <col min="6162" max="6163" width="15.5703125" customWidth="1"/>
    <col min="6164" max="6164" width="8.140625" customWidth="1"/>
    <col min="6165" max="6171" width="0" hidden="1" customWidth="1"/>
    <col min="6172" max="6172" width="34" customWidth="1"/>
    <col min="6403" max="6403" width="6.42578125" customWidth="1"/>
    <col min="6405" max="6405" width="17.28515625" customWidth="1"/>
    <col min="6406" max="6406" width="10.85546875" bestFit="1" customWidth="1"/>
    <col min="6407" max="6407" width="16.140625" customWidth="1"/>
    <col min="6408" max="6408" width="16.5703125" customWidth="1"/>
    <col min="6409" max="6410" width="13.5703125" customWidth="1"/>
    <col min="6411" max="6411" width="13.85546875" customWidth="1"/>
    <col min="6412" max="6412" width="13.42578125" customWidth="1"/>
    <col min="6413" max="6413" width="16.28515625" customWidth="1"/>
    <col min="6414" max="6414" width="12.5703125" customWidth="1"/>
    <col min="6415" max="6415" width="8.140625" customWidth="1"/>
    <col min="6416" max="6416" width="15.5703125" customWidth="1"/>
    <col min="6417" max="6417" width="12.28515625" customWidth="1"/>
    <col min="6418" max="6419" width="15.5703125" customWidth="1"/>
    <col min="6420" max="6420" width="8.140625" customWidth="1"/>
    <col min="6421" max="6427" width="0" hidden="1" customWidth="1"/>
    <col min="6428" max="6428" width="34" customWidth="1"/>
    <col min="6659" max="6659" width="6.42578125" customWidth="1"/>
    <col min="6661" max="6661" width="17.28515625" customWidth="1"/>
    <col min="6662" max="6662" width="10.85546875" bestFit="1" customWidth="1"/>
    <col min="6663" max="6663" width="16.140625" customWidth="1"/>
    <col min="6664" max="6664" width="16.5703125" customWidth="1"/>
    <col min="6665" max="6666" width="13.5703125" customWidth="1"/>
    <col min="6667" max="6667" width="13.85546875" customWidth="1"/>
    <col min="6668" max="6668" width="13.42578125" customWidth="1"/>
    <col min="6669" max="6669" width="16.28515625" customWidth="1"/>
    <col min="6670" max="6670" width="12.5703125" customWidth="1"/>
    <col min="6671" max="6671" width="8.140625" customWidth="1"/>
    <col min="6672" max="6672" width="15.5703125" customWidth="1"/>
    <col min="6673" max="6673" width="12.28515625" customWidth="1"/>
    <col min="6674" max="6675" width="15.5703125" customWidth="1"/>
    <col min="6676" max="6676" width="8.140625" customWidth="1"/>
    <col min="6677" max="6683" width="0" hidden="1" customWidth="1"/>
    <col min="6684" max="6684" width="34" customWidth="1"/>
    <col min="6915" max="6915" width="6.42578125" customWidth="1"/>
    <col min="6917" max="6917" width="17.28515625" customWidth="1"/>
    <col min="6918" max="6918" width="10.85546875" bestFit="1" customWidth="1"/>
    <col min="6919" max="6919" width="16.140625" customWidth="1"/>
    <col min="6920" max="6920" width="16.5703125" customWidth="1"/>
    <col min="6921" max="6922" width="13.5703125" customWidth="1"/>
    <col min="6923" max="6923" width="13.85546875" customWidth="1"/>
    <col min="6924" max="6924" width="13.42578125" customWidth="1"/>
    <col min="6925" max="6925" width="16.28515625" customWidth="1"/>
    <col min="6926" max="6926" width="12.5703125" customWidth="1"/>
    <col min="6927" max="6927" width="8.140625" customWidth="1"/>
    <col min="6928" max="6928" width="15.5703125" customWidth="1"/>
    <col min="6929" max="6929" width="12.28515625" customWidth="1"/>
    <col min="6930" max="6931" width="15.5703125" customWidth="1"/>
    <col min="6932" max="6932" width="8.140625" customWidth="1"/>
    <col min="6933" max="6939" width="0" hidden="1" customWidth="1"/>
    <col min="6940" max="6940" width="34" customWidth="1"/>
    <col min="7171" max="7171" width="6.42578125" customWidth="1"/>
    <col min="7173" max="7173" width="17.28515625" customWidth="1"/>
    <col min="7174" max="7174" width="10.85546875" bestFit="1" customWidth="1"/>
    <col min="7175" max="7175" width="16.140625" customWidth="1"/>
    <col min="7176" max="7176" width="16.5703125" customWidth="1"/>
    <col min="7177" max="7178" width="13.5703125" customWidth="1"/>
    <col min="7179" max="7179" width="13.85546875" customWidth="1"/>
    <col min="7180" max="7180" width="13.42578125" customWidth="1"/>
    <col min="7181" max="7181" width="16.28515625" customWidth="1"/>
    <col min="7182" max="7182" width="12.5703125" customWidth="1"/>
    <col min="7183" max="7183" width="8.140625" customWidth="1"/>
    <col min="7184" max="7184" width="15.5703125" customWidth="1"/>
    <col min="7185" max="7185" width="12.28515625" customWidth="1"/>
    <col min="7186" max="7187" width="15.5703125" customWidth="1"/>
    <col min="7188" max="7188" width="8.140625" customWidth="1"/>
    <col min="7189" max="7195" width="0" hidden="1" customWidth="1"/>
    <col min="7196" max="7196" width="34" customWidth="1"/>
    <col min="7427" max="7427" width="6.42578125" customWidth="1"/>
    <col min="7429" max="7429" width="17.28515625" customWidth="1"/>
    <col min="7430" max="7430" width="10.85546875" bestFit="1" customWidth="1"/>
    <col min="7431" max="7431" width="16.140625" customWidth="1"/>
    <col min="7432" max="7432" width="16.5703125" customWidth="1"/>
    <col min="7433" max="7434" width="13.5703125" customWidth="1"/>
    <col min="7435" max="7435" width="13.85546875" customWidth="1"/>
    <col min="7436" max="7436" width="13.42578125" customWidth="1"/>
    <col min="7437" max="7437" width="16.28515625" customWidth="1"/>
    <col min="7438" max="7438" width="12.5703125" customWidth="1"/>
    <col min="7439" max="7439" width="8.140625" customWidth="1"/>
    <col min="7440" max="7440" width="15.5703125" customWidth="1"/>
    <col min="7441" max="7441" width="12.28515625" customWidth="1"/>
    <col min="7442" max="7443" width="15.5703125" customWidth="1"/>
    <col min="7444" max="7444" width="8.140625" customWidth="1"/>
    <col min="7445" max="7451" width="0" hidden="1" customWidth="1"/>
    <col min="7452" max="7452" width="34" customWidth="1"/>
    <col min="7683" max="7683" width="6.42578125" customWidth="1"/>
    <col min="7685" max="7685" width="17.28515625" customWidth="1"/>
    <col min="7686" max="7686" width="10.85546875" bestFit="1" customWidth="1"/>
    <col min="7687" max="7687" width="16.140625" customWidth="1"/>
    <col min="7688" max="7688" width="16.5703125" customWidth="1"/>
    <col min="7689" max="7690" width="13.5703125" customWidth="1"/>
    <col min="7691" max="7691" width="13.85546875" customWidth="1"/>
    <col min="7692" max="7692" width="13.42578125" customWidth="1"/>
    <col min="7693" max="7693" width="16.28515625" customWidth="1"/>
    <col min="7694" max="7694" width="12.5703125" customWidth="1"/>
    <col min="7695" max="7695" width="8.140625" customWidth="1"/>
    <col min="7696" max="7696" width="15.5703125" customWidth="1"/>
    <col min="7697" max="7697" width="12.28515625" customWidth="1"/>
    <col min="7698" max="7699" width="15.5703125" customWidth="1"/>
    <col min="7700" max="7700" width="8.140625" customWidth="1"/>
    <col min="7701" max="7707" width="0" hidden="1" customWidth="1"/>
    <col min="7708" max="7708" width="34" customWidth="1"/>
    <col min="7939" max="7939" width="6.42578125" customWidth="1"/>
    <col min="7941" max="7941" width="17.28515625" customWidth="1"/>
    <col min="7942" max="7942" width="10.85546875" bestFit="1" customWidth="1"/>
    <col min="7943" max="7943" width="16.140625" customWidth="1"/>
    <col min="7944" max="7944" width="16.5703125" customWidth="1"/>
    <col min="7945" max="7946" width="13.5703125" customWidth="1"/>
    <col min="7947" max="7947" width="13.85546875" customWidth="1"/>
    <col min="7948" max="7948" width="13.42578125" customWidth="1"/>
    <col min="7949" max="7949" width="16.28515625" customWidth="1"/>
    <col min="7950" max="7950" width="12.5703125" customWidth="1"/>
    <col min="7951" max="7951" width="8.140625" customWidth="1"/>
    <col min="7952" max="7952" width="15.5703125" customWidth="1"/>
    <col min="7953" max="7953" width="12.28515625" customWidth="1"/>
    <col min="7954" max="7955" width="15.5703125" customWidth="1"/>
    <col min="7956" max="7956" width="8.140625" customWidth="1"/>
    <col min="7957" max="7963" width="0" hidden="1" customWidth="1"/>
    <col min="7964" max="7964" width="34" customWidth="1"/>
    <col min="8195" max="8195" width="6.42578125" customWidth="1"/>
    <col min="8197" max="8197" width="17.28515625" customWidth="1"/>
    <col min="8198" max="8198" width="10.85546875" bestFit="1" customWidth="1"/>
    <col min="8199" max="8199" width="16.140625" customWidth="1"/>
    <col min="8200" max="8200" width="16.5703125" customWidth="1"/>
    <col min="8201" max="8202" width="13.5703125" customWidth="1"/>
    <col min="8203" max="8203" width="13.85546875" customWidth="1"/>
    <col min="8204" max="8204" width="13.42578125" customWidth="1"/>
    <col min="8205" max="8205" width="16.28515625" customWidth="1"/>
    <col min="8206" max="8206" width="12.5703125" customWidth="1"/>
    <col min="8207" max="8207" width="8.140625" customWidth="1"/>
    <col min="8208" max="8208" width="15.5703125" customWidth="1"/>
    <col min="8209" max="8209" width="12.28515625" customWidth="1"/>
    <col min="8210" max="8211" width="15.5703125" customWidth="1"/>
    <col min="8212" max="8212" width="8.140625" customWidth="1"/>
    <col min="8213" max="8219" width="0" hidden="1" customWidth="1"/>
    <col min="8220" max="8220" width="34" customWidth="1"/>
    <col min="8451" max="8451" width="6.42578125" customWidth="1"/>
    <col min="8453" max="8453" width="17.28515625" customWidth="1"/>
    <col min="8454" max="8454" width="10.85546875" bestFit="1" customWidth="1"/>
    <col min="8455" max="8455" width="16.140625" customWidth="1"/>
    <col min="8456" max="8456" width="16.5703125" customWidth="1"/>
    <col min="8457" max="8458" width="13.5703125" customWidth="1"/>
    <col min="8459" max="8459" width="13.85546875" customWidth="1"/>
    <col min="8460" max="8460" width="13.42578125" customWidth="1"/>
    <col min="8461" max="8461" width="16.28515625" customWidth="1"/>
    <col min="8462" max="8462" width="12.5703125" customWidth="1"/>
    <col min="8463" max="8463" width="8.140625" customWidth="1"/>
    <col min="8464" max="8464" width="15.5703125" customWidth="1"/>
    <col min="8465" max="8465" width="12.28515625" customWidth="1"/>
    <col min="8466" max="8467" width="15.5703125" customWidth="1"/>
    <col min="8468" max="8468" width="8.140625" customWidth="1"/>
    <col min="8469" max="8475" width="0" hidden="1" customWidth="1"/>
    <col min="8476" max="8476" width="34" customWidth="1"/>
    <col min="8707" max="8707" width="6.42578125" customWidth="1"/>
    <col min="8709" max="8709" width="17.28515625" customWidth="1"/>
    <col min="8710" max="8710" width="10.85546875" bestFit="1" customWidth="1"/>
    <col min="8711" max="8711" width="16.140625" customWidth="1"/>
    <col min="8712" max="8712" width="16.5703125" customWidth="1"/>
    <col min="8713" max="8714" width="13.5703125" customWidth="1"/>
    <col min="8715" max="8715" width="13.85546875" customWidth="1"/>
    <col min="8716" max="8716" width="13.42578125" customWidth="1"/>
    <col min="8717" max="8717" width="16.28515625" customWidth="1"/>
    <col min="8718" max="8718" width="12.5703125" customWidth="1"/>
    <col min="8719" max="8719" width="8.140625" customWidth="1"/>
    <col min="8720" max="8720" width="15.5703125" customWidth="1"/>
    <col min="8721" max="8721" width="12.28515625" customWidth="1"/>
    <col min="8722" max="8723" width="15.5703125" customWidth="1"/>
    <col min="8724" max="8724" width="8.140625" customWidth="1"/>
    <col min="8725" max="8731" width="0" hidden="1" customWidth="1"/>
    <col min="8732" max="8732" width="34" customWidth="1"/>
    <col min="8963" max="8963" width="6.42578125" customWidth="1"/>
    <col min="8965" max="8965" width="17.28515625" customWidth="1"/>
    <col min="8966" max="8966" width="10.85546875" bestFit="1" customWidth="1"/>
    <col min="8967" max="8967" width="16.140625" customWidth="1"/>
    <col min="8968" max="8968" width="16.5703125" customWidth="1"/>
    <col min="8969" max="8970" width="13.5703125" customWidth="1"/>
    <col min="8971" max="8971" width="13.85546875" customWidth="1"/>
    <col min="8972" max="8972" width="13.42578125" customWidth="1"/>
    <col min="8973" max="8973" width="16.28515625" customWidth="1"/>
    <col min="8974" max="8974" width="12.5703125" customWidth="1"/>
    <col min="8975" max="8975" width="8.140625" customWidth="1"/>
    <col min="8976" max="8976" width="15.5703125" customWidth="1"/>
    <col min="8977" max="8977" width="12.28515625" customWidth="1"/>
    <col min="8978" max="8979" width="15.5703125" customWidth="1"/>
    <col min="8980" max="8980" width="8.140625" customWidth="1"/>
    <col min="8981" max="8987" width="0" hidden="1" customWidth="1"/>
    <col min="8988" max="8988" width="34" customWidth="1"/>
    <col min="9219" max="9219" width="6.42578125" customWidth="1"/>
    <col min="9221" max="9221" width="17.28515625" customWidth="1"/>
    <col min="9222" max="9222" width="10.85546875" bestFit="1" customWidth="1"/>
    <col min="9223" max="9223" width="16.140625" customWidth="1"/>
    <col min="9224" max="9224" width="16.5703125" customWidth="1"/>
    <col min="9225" max="9226" width="13.5703125" customWidth="1"/>
    <col min="9227" max="9227" width="13.85546875" customWidth="1"/>
    <col min="9228" max="9228" width="13.42578125" customWidth="1"/>
    <col min="9229" max="9229" width="16.28515625" customWidth="1"/>
    <col min="9230" max="9230" width="12.5703125" customWidth="1"/>
    <col min="9231" max="9231" width="8.140625" customWidth="1"/>
    <col min="9232" max="9232" width="15.5703125" customWidth="1"/>
    <col min="9233" max="9233" width="12.28515625" customWidth="1"/>
    <col min="9234" max="9235" width="15.5703125" customWidth="1"/>
    <col min="9236" max="9236" width="8.140625" customWidth="1"/>
    <col min="9237" max="9243" width="0" hidden="1" customWidth="1"/>
    <col min="9244" max="9244" width="34" customWidth="1"/>
    <col min="9475" max="9475" width="6.42578125" customWidth="1"/>
    <col min="9477" max="9477" width="17.28515625" customWidth="1"/>
    <col min="9478" max="9478" width="10.85546875" bestFit="1" customWidth="1"/>
    <col min="9479" max="9479" width="16.140625" customWidth="1"/>
    <col min="9480" max="9480" width="16.5703125" customWidth="1"/>
    <col min="9481" max="9482" width="13.5703125" customWidth="1"/>
    <col min="9483" max="9483" width="13.85546875" customWidth="1"/>
    <col min="9484" max="9484" width="13.42578125" customWidth="1"/>
    <col min="9485" max="9485" width="16.28515625" customWidth="1"/>
    <col min="9486" max="9486" width="12.5703125" customWidth="1"/>
    <col min="9487" max="9487" width="8.140625" customWidth="1"/>
    <col min="9488" max="9488" width="15.5703125" customWidth="1"/>
    <col min="9489" max="9489" width="12.28515625" customWidth="1"/>
    <col min="9490" max="9491" width="15.5703125" customWidth="1"/>
    <col min="9492" max="9492" width="8.140625" customWidth="1"/>
    <col min="9493" max="9499" width="0" hidden="1" customWidth="1"/>
    <col min="9500" max="9500" width="34" customWidth="1"/>
    <col min="9731" max="9731" width="6.42578125" customWidth="1"/>
    <col min="9733" max="9733" width="17.28515625" customWidth="1"/>
    <col min="9734" max="9734" width="10.85546875" bestFit="1" customWidth="1"/>
    <col min="9735" max="9735" width="16.140625" customWidth="1"/>
    <col min="9736" max="9736" width="16.5703125" customWidth="1"/>
    <col min="9737" max="9738" width="13.5703125" customWidth="1"/>
    <col min="9739" max="9739" width="13.85546875" customWidth="1"/>
    <col min="9740" max="9740" width="13.42578125" customWidth="1"/>
    <col min="9741" max="9741" width="16.28515625" customWidth="1"/>
    <col min="9742" max="9742" width="12.5703125" customWidth="1"/>
    <col min="9743" max="9743" width="8.140625" customWidth="1"/>
    <col min="9744" max="9744" width="15.5703125" customWidth="1"/>
    <col min="9745" max="9745" width="12.28515625" customWidth="1"/>
    <col min="9746" max="9747" width="15.5703125" customWidth="1"/>
    <col min="9748" max="9748" width="8.140625" customWidth="1"/>
    <col min="9749" max="9755" width="0" hidden="1" customWidth="1"/>
    <col min="9756" max="9756" width="34" customWidth="1"/>
    <col min="9987" max="9987" width="6.42578125" customWidth="1"/>
    <col min="9989" max="9989" width="17.28515625" customWidth="1"/>
    <col min="9990" max="9990" width="10.85546875" bestFit="1" customWidth="1"/>
    <col min="9991" max="9991" width="16.140625" customWidth="1"/>
    <col min="9992" max="9992" width="16.5703125" customWidth="1"/>
    <col min="9993" max="9994" width="13.5703125" customWidth="1"/>
    <col min="9995" max="9995" width="13.85546875" customWidth="1"/>
    <col min="9996" max="9996" width="13.42578125" customWidth="1"/>
    <col min="9997" max="9997" width="16.28515625" customWidth="1"/>
    <col min="9998" max="9998" width="12.5703125" customWidth="1"/>
    <col min="9999" max="9999" width="8.140625" customWidth="1"/>
    <col min="10000" max="10000" width="15.5703125" customWidth="1"/>
    <col min="10001" max="10001" width="12.28515625" customWidth="1"/>
    <col min="10002" max="10003" width="15.5703125" customWidth="1"/>
    <col min="10004" max="10004" width="8.140625" customWidth="1"/>
    <col min="10005" max="10011" width="0" hidden="1" customWidth="1"/>
    <col min="10012" max="10012" width="34" customWidth="1"/>
    <col min="10243" max="10243" width="6.42578125" customWidth="1"/>
    <col min="10245" max="10245" width="17.28515625" customWidth="1"/>
    <col min="10246" max="10246" width="10.85546875" bestFit="1" customWidth="1"/>
    <col min="10247" max="10247" width="16.140625" customWidth="1"/>
    <col min="10248" max="10248" width="16.5703125" customWidth="1"/>
    <col min="10249" max="10250" width="13.5703125" customWidth="1"/>
    <col min="10251" max="10251" width="13.85546875" customWidth="1"/>
    <col min="10252" max="10252" width="13.42578125" customWidth="1"/>
    <col min="10253" max="10253" width="16.28515625" customWidth="1"/>
    <col min="10254" max="10254" width="12.5703125" customWidth="1"/>
    <col min="10255" max="10255" width="8.140625" customWidth="1"/>
    <col min="10256" max="10256" width="15.5703125" customWidth="1"/>
    <col min="10257" max="10257" width="12.28515625" customWidth="1"/>
    <col min="10258" max="10259" width="15.5703125" customWidth="1"/>
    <col min="10260" max="10260" width="8.140625" customWidth="1"/>
    <col min="10261" max="10267" width="0" hidden="1" customWidth="1"/>
    <col min="10268" max="10268" width="34" customWidth="1"/>
    <col min="10499" max="10499" width="6.42578125" customWidth="1"/>
    <col min="10501" max="10501" width="17.28515625" customWidth="1"/>
    <col min="10502" max="10502" width="10.85546875" bestFit="1" customWidth="1"/>
    <col min="10503" max="10503" width="16.140625" customWidth="1"/>
    <col min="10504" max="10504" width="16.5703125" customWidth="1"/>
    <col min="10505" max="10506" width="13.5703125" customWidth="1"/>
    <col min="10507" max="10507" width="13.85546875" customWidth="1"/>
    <col min="10508" max="10508" width="13.42578125" customWidth="1"/>
    <col min="10509" max="10509" width="16.28515625" customWidth="1"/>
    <col min="10510" max="10510" width="12.5703125" customWidth="1"/>
    <col min="10511" max="10511" width="8.140625" customWidth="1"/>
    <col min="10512" max="10512" width="15.5703125" customWidth="1"/>
    <col min="10513" max="10513" width="12.28515625" customWidth="1"/>
    <col min="10514" max="10515" width="15.5703125" customWidth="1"/>
    <col min="10516" max="10516" width="8.140625" customWidth="1"/>
    <col min="10517" max="10523" width="0" hidden="1" customWidth="1"/>
    <col min="10524" max="10524" width="34" customWidth="1"/>
    <col min="10755" max="10755" width="6.42578125" customWidth="1"/>
    <col min="10757" max="10757" width="17.28515625" customWidth="1"/>
    <col min="10758" max="10758" width="10.85546875" bestFit="1" customWidth="1"/>
    <col min="10759" max="10759" width="16.140625" customWidth="1"/>
    <col min="10760" max="10760" width="16.5703125" customWidth="1"/>
    <col min="10761" max="10762" width="13.5703125" customWidth="1"/>
    <col min="10763" max="10763" width="13.85546875" customWidth="1"/>
    <col min="10764" max="10764" width="13.42578125" customWidth="1"/>
    <col min="10765" max="10765" width="16.28515625" customWidth="1"/>
    <col min="10766" max="10766" width="12.5703125" customWidth="1"/>
    <col min="10767" max="10767" width="8.140625" customWidth="1"/>
    <col min="10768" max="10768" width="15.5703125" customWidth="1"/>
    <col min="10769" max="10769" width="12.28515625" customWidth="1"/>
    <col min="10770" max="10771" width="15.5703125" customWidth="1"/>
    <col min="10772" max="10772" width="8.140625" customWidth="1"/>
    <col min="10773" max="10779" width="0" hidden="1" customWidth="1"/>
    <col min="10780" max="10780" width="34" customWidth="1"/>
    <col min="11011" max="11011" width="6.42578125" customWidth="1"/>
    <col min="11013" max="11013" width="17.28515625" customWidth="1"/>
    <col min="11014" max="11014" width="10.85546875" bestFit="1" customWidth="1"/>
    <col min="11015" max="11015" width="16.140625" customWidth="1"/>
    <col min="11016" max="11016" width="16.5703125" customWidth="1"/>
    <col min="11017" max="11018" width="13.5703125" customWidth="1"/>
    <col min="11019" max="11019" width="13.85546875" customWidth="1"/>
    <col min="11020" max="11020" width="13.42578125" customWidth="1"/>
    <col min="11021" max="11021" width="16.28515625" customWidth="1"/>
    <col min="11022" max="11022" width="12.5703125" customWidth="1"/>
    <col min="11023" max="11023" width="8.140625" customWidth="1"/>
    <col min="11024" max="11024" width="15.5703125" customWidth="1"/>
    <col min="11025" max="11025" width="12.28515625" customWidth="1"/>
    <col min="11026" max="11027" width="15.5703125" customWidth="1"/>
    <col min="11028" max="11028" width="8.140625" customWidth="1"/>
    <col min="11029" max="11035" width="0" hidden="1" customWidth="1"/>
    <col min="11036" max="11036" width="34" customWidth="1"/>
    <col min="11267" max="11267" width="6.42578125" customWidth="1"/>
    <col min="11269" max="11269" width="17.28515625" customWidth="1"/>
    <col min="11270" max="11270" width="10.85546875" bestFit="1" customWidth="1"/>
    <col min="11271" max="11271" width="16.140625" customWidth="1"/>
    <col min="11272" max="11272" width="16.5703125" customWidth="1"/>
    <col min="11273" max="11274" width="13.5703125" customWidth="1"/>
    <col min="11275" max="11275" width="13.85546875" customWidth="1"/>
    <col min="11276" max="11276" width="13.42578125" customWidth="1"/>
    <col min="11277" max="11277" width="16.28515625" customWidth="1"/>
    <col min="11278" max="11278" width="12.5703125" customWidth="1"/>
    <col min="11279" max="11279" width="8.140625" customWidth="1"/>
    <col min="11280" max="11280" width="15.5703125" customWidth="1"/>
    <col min="11281" max="11281" width="12.28515625" customWidth="1"/>
    <col min="11282" max="11283" width="15.5703125" customWidth="1"/>
    <col min="11284" max="11284" width="8.140625" customWidth="1"/>
    <col min="11285" max="11291" width="0" hidden="1" customWidth="1"/>
    <col min="11292" max="11292" width="34" customWidth="1"/>
    <col min="11523" max="11523" width="6.42578125" customWidth="1"/>
    <col min="11525" max="11525" width="17.28515625" customWidth="1"/>
    <col min="11526" max="11526" width="10.85546875" bestFit="1" customWidth="1"/>
    <col min="11527" max="11527" width="16.140625" customWidth="1"/>
    <col min="11528" max="11528" width="16.5703125" customWidth="1"/>
    <col min="11529" max="11530" width="13.5703125" customWidth="1"/>
    <col min="11531" max="11531" width="13.85546875" customWidth="1"/>
    <col min="11532" max="11532" width="13.42578125" customWidth="1"/>
    <col min="11533" max="11533" width="16.28515625" customWidth="1"/>
    <col min="11534" max="11534" width="12.5703125" customWidth="1"/>
    <col min="11535" max="11535" width="8.140625" customWidth="1"/>
    <col min="11536" max="11536" width="15.5703125" customWidth="1"/>
    <col min="11537" max="11537" width="12.28515625" customWidth="1"/>
    <col min="11538" max="11539" width="15.5703125" customWidth="1"/>
    <col min="11540" max="11540" width="8.140625" customWidth="1"/>
    <col min="11541" max="11547" width="0" hidden="1" customWidth="1"/>
    <col min="11548" max="11548" width="34" customWidth="1"/>
    <col min="11779" max="11779" width="6.42578125" customWidth="1"/>
    <col min="11781" max="11781" width="17.28515625" customWidth="1"/>
    <col min="11782" max="11782" width="10.85546875" bestFit="1" customWidth="1"/>
    <col min="11783" max="11783" width="16.140625" customWidth="1"/>
    <col min="11784" max="11784" width="16.5703125" customWidth="1"/>
    <col min="11785" max="11786" width="13.5703125" customWidth="1"/>
    <col min="11787" max="11787" width="13.85546875" customWidth="1"/>
    <col min="11788" max="11788" width="13.42578125" customWidth="1"/>
    <col min="11789" max="11789" width="16.28515625" customWidth="1"/>
    <col min="11790" max="11790" width="12.5703125" customWidth="1"/>
    <col min="11791" max="11791" width="8.140625" customWidth="1"/>
    <col min="11792" max="11792" width="15.5703125" customWidth="1"/>
    <col min="11793" max="11793" width="12.28515625" customWidth="1"/>
    <col min="11794" max="11795" width="15.5703125" customWidth="1"/>
    <col min="11796" max="11796" width="8.140625" customWidth="1"/>
    <col min="11797" max="11803" width="0" hidden="1" customWidth="1"/>
    <col min="11804" max="11804" width="34" customWidth="1"/>
    <col min="12035" max="12035" width="6.42578125" customWidth="1"/>
    <col min="12037" max="12037" width="17.28515625" customWidth="1"/>
    <col min="12038" max="12038" width="10.85546875" bestFit="1" customWidth="1"/>
    <col min="12039" max="12039" width="16.140625" customWidth="1"/>
    <col min="12040" max="12040" width="16.5703125" customWidth="1"/>
    <col min="12041" max="12042" width="13.5703125" customWidth="1"/>
    <col min="12043" max="12043" width="13.85546875" customWidth="1"/>
    <col min="12044" max="12044" width="13.42578125" customWidth="1"/>
    <col min="12045" max="12045" width="16.28515625" customWidth="1"/>
    <col min="12046" max="12046" width="12.5703125" customWidth="1"/>
    <col min="12047" max="12047" width="8.140625" customWidth="1"/>
    <col min="12048" max="12048" width="15.5703125" customWidth="1"/>
    <col min="12049" max="12049" width="12.28515625" customWidth="1"/>
    <col min="12050" max="12051" width="15.5703125" customWidth="1"/>
    <col min="12052" max="12052" width="8.140625" customWidth="1"/>
    <col min="12053" max="12059" width="0" hidden="1" customWidth="1"/>
    <col min="12060" max="12060" width="34" customWidth="1"/>
    <col min="12291" max="12291" width="6.42578125" customWidth="1"/>
    <col min="12293" max="12293" width="17.28515625" customWidth="1"/>
    <col min="12294" max="12294" width="10.85546875" bestFit="1" customWidth="1"/>
    <col min="12295" max="12295" width="16.140625" customWidth="1"/>
    <col min="12296" max="12296" width="16.5703125" customWidth="1"/>
    <col min="12297" max="12298" width="13.5703125" customWidth="1"/>
    <col min="12299" max="12299" width="13.85546875" customWidth="1"/>
    <col min="12300" max="12300" width="13.42578125" customWidth="1"/>
    <col min="12301" max="12301" width="16.28515625" customWidth="1"/>
    <col min="12302" max="12302" width="12.5703125" customWidth="1"/>
    <col min="12303" max="12303" width="8.140625" customWidth="1"/>
    <col min="12304" max="12304" width="15.5703125" customWidth="1"/>
    <col min="12305" max="12305" width="12.28515625" customWidth="1"/>
    <col min="12306" max="12307" width="15.5703125" customWidth="1"/>
    <col min="12308" max="12308" width="8.140625" customWidth="1"/>
    <col min="12309" max="12315" width="0" hidden="1" customWidth="1"/>
    <col min="12316" max="12316" width="34" customWidth="1"/>
    <col min="12547" max="12547" width="6.42578125" customWidth="1"/>
    <col min="12549" max="12549" width="17.28515625" customWidth="1"/>
    <col min="12550" max="12550" width="10.85546875" bestFit="1" customWidth="1"/>
    <col min="12551" max="12551" width="16.140625" customWidth="1"/>
    <col min="12552" max="12552" width="16.5703125" customWidth="1"/>
    <col min="12553" max="12554" width="13.5703125" customWidth="1"/>
    <col min="12555" max="12555" width="13.85546875" customWidth="1"/>
    <col min="12556" max="12556" width="13.42578125" customWidth="1"/>
    <col min="12557" max="12557" width="16.28515625" customWidth="1"/>
    <col min="12558" max="12558" width="12.5703125" customWidth="1"/>
    <col min="12559" max="12559" width="8.140625" customWidth="1"/>
    <col min="12560" max="12560" width="15.5703125" customWidth="1"/>
    <col min="12561" max="12561" width="12.28515625" customWidth="1"/>
    <col min="12562" max="12563" width="15.5703125" customWidth="1"/>
    <col min="12564" max="12564" width="8.140625" customWidth="1"/>
    <col min="12565" max="12571" width="0" hidden="1" customWidth="1"/>
    <col min="12572" max="12572" width="34" customWidth="1"/>
    <col min="12803" max="12803" width="6.42578125" customWidth="1"/>
    <col min="12805" max="12805" width="17.28515625" customWidth="1"/>
    <col min="12806" max="12806" width="10.85546875" bestFit="1" customWidth="1"/>
    <col min="12807" max="12807" width="16.140625" customWidth="1"/>
    <col min="12808" max="12808" width="16.5703125" customWidth="1"/>
    <col min="12809" max="12810" width="13.5703125" customWidth="1"/>
    <col min="12811" max="12811" width="13.85546875" customWidth="1"/>
    <col min="12812" max="12812" width="13.42578125" customWidth="1"/>
    <col min="12813" max="12813" width="16.28515625" customWidth="1"/>
    <col min="12814" max="12814" width="12.5703125" customWidth="1"/>
    <col min="12815" max="12815" width="8.140625" customWidth="1"/>
    <col min="12816" max="12816" width="15.5703125" customWidth="1"/>
    <col min="12817" max="12817" width="12.28515625" customWidth="1"/>
    <col min="12818" max="12819" width="15.5703125" customWidth="1"/>
    <col min="12820" max="12820" width="8.140625" customWidth="1"/>
    <col min="12821" max="12827" width="0" hidden="1" customWidth="1"/>
    <col min="12828" max="12828" width="34" customWidth="1"/>
    <col min="13059" max="13059" width="6.42578125" customWidth="1"/>
    <col min="13061" max="13061" width="17.28515625" customWidth="1"/>
    <col min="13062" max="13062" width="10.85546875" bestFit="1" customWidth="1"/>
    <col min="13063" max="13063" width="16.140625" customWidth="1"/>
    <col min="13064" max="13064" width="16.5703125" customWidth="1"/>
    <col min="13065" max="13066" width="13.5703125" customWidth="1"/>
    <col min="13067" max="13067" width="13.85546875" customWidth="1"/>
    <col min="13068" max="13068" width="13.42578125" customWidth="1"/>
    <col min="13069" max="13069" width="16.28515625" customWidth="1"/>
    <col min="13070" max="13070" width="12.5703125" customWidth="1"/>
    <col min="13071" max="13071" width="8.140625" customWidth="1"/>
    <col min="13072" max="13072" width="15.5703125" customWidth="1"/>
    <col min="13073" max="13073" width="12.28515625" customWidth="1"/>
    <col min="13074" max="13075" width="15.5703125" customWidth="1"/>
    <col min="13076" max="13076" width="8.140625" customWidth="1"/>
    <col min="13077" max="13083" width="0" hidden="1" customWidth="1"/>
    <col min="13084" max="13084" width="34" customWidth="1"/>
    <col min="13315" max="13315" width="6.42578125" customWidth="1"/>
    <col min="13317" max="13317" width="17.28515625" customWidth="1"/>
    <col min="13318" max="13318" width="10.85546875" bestFit="1" customWidth="1"/>
    <col min="13319" max="13319" width="16.140625" customWidth="1"/>
    <col min="13320" max="13320" width="16.5703125" customWidth="1"/>
    <col min="13321" max="13322" width="13.5703125" customWidth="1"/>
    <col min="13323" max="13323" width="13.85546875" customWidth="1"/>
    <col min="13324" max="13324" width="13.42578125" customWidth="1"/>
    <col min="13325" max="13325" width="16.28515625" customWidth="1"/>
    <col min="13326" max="13326" width="12.5703125" customWidth="1"/>
    <col min="13327" max="13327" width="8.140625" customWidth="1"/>
    <col min="13328" max="13328" width="15.5703125" customWidth="1"/>
    <col min="13329" max="13329" width="12.28515625" customWidth="1"/>
    <col min="13330" max="13331" width="15.5703125" customWidth="1"/>
    <col min="13332" max="13332" width="8.140625" customWidth="1"/>
    <col min="13333" max="13339" width="0" hidden="1" customWidth="1"/>
    <col min="13340" max="13340" width="34" customWidth="1"/>
    <col min="13571" max="13571" width="6.42578125" customWidth="1"/>
    <col min="13573" max="13573" width="17.28515625" customWidth="1"/>
    <col min="13574" max="13574" width="10.85546875" bestFit="1" customWidth="1"/>
    <col min="13575" max="13575" width="16.140625" customWidth="1"/>
    <col min="13576" max="13576" width="16.5703125" customWidth="1"/>
    <col min="13577" max="13578" width="13.5703125" customWidth="1"/>
    <col min="13579" max="13579" width="13.85546875" customWidth="1"/>
    <col min="13580" max="13580" width="13.42578125" customWidth="1"/>
    <col min="13581" max="13581" width="16.28515625" customWidth="1"/>
    <col min="13582" max="13582" width="12.5703125" customWidth="1"/>
    <col min="13583" max="13583" width="8.140625" customWidth="1"/>
    <col min="13584" max="13584" width="15.5703125" customWidth="1"/>
    <col min="13585" max="13585" width="12.28515625" customWidth="1"/>
    <col min="13586" max="13587" width="15.5703125" customWidth="1"/>
    <col min="13588" max="13588" width="8.140625" customWidth="1"/>
    <col min="13589" max="13595" width="0" hidden="1" customWidth="1"/>
    <col min="13596" max="13596" width="34" customWidth="1"/>
    <col min="13827" max="13827" width="6.42578125" customWidth="1"/>
    <col min="13829" max="13829" width="17.28515625" customWidth="1"/>
    <col min="13830" max="13830" width="10.85546875" bestFit="1" customWidth="1"/>
    <col min="13831" max="13831" width="16.140625" customWidth="1"/>
    <col min="13832" max="13832" width="16.5703125" customWidth="1"/>
    <col min="13833" max="13834" width="13.5703125" customWidth="1"/>
    <col min="13835" max="13835" width="13.85546875" customWidth="1"/>
    <col min="13836" max="13836" width="13.42578125" customWidth="1"/>
    <col min="13837" max="13837" width="16.28515625" customWidth="1"/>
    <col min="13838" max="13838" width="12.5703125" customWidth="1"/>
    <col min="13839" max="13839" width="8.140625" customWidth="1"/>
    <col min="13840" max="13840" width="15.5703125" customWidth="1"/>
    <col min="13841" max="13841" width="12.28515625" customWidth="1"/>
    <col min="13842" max="13843" width="15.5703125" customWidth="1"/>
    <col min="13844" max="13844" width="8.140625" customWidth="1"/>
    <col min="13845" max="13851" width="0" hidden="1" customWidth="1"/>
    <col min="13852" max="13852" width="34" customWidth="1"/>
    <col min="14083" max="14083" width="6.42578125" customWidth="1"/>
    <col min="14085" max="14085" width="17.28515625" customWidth="1"/>
    <col min="14086" max="14086" width="10.85546875" bestFit="1" customWidth="1"/>
    <col min="14087" max="14087" width="16.140625" customWidth="1"/>
    <col min="14088" max="14088" width="16.5703125" customWidth="1"/>
    <col min="14089" max="14090" width="13.5703125" customWidth="1"/>
    <col min="14091" max="14091" width="13.85546875" customWidth="1"/>
    <col min="14092" max="14092" width="13.42578125" customWidth="1"/>
    <col min="14093" max="14093" width="16.28515625" customWidth="1"/>
    <col min="14094" max="14094" width="12.5703125" customWidth="1"/>
    <col min="14095" max="14095" width="8.140625" customWidth="1"/>
    <col min="14096" max="14096" width="15.5703125" customWidth="1"/>
    <col min="14097" max="14097" width="12.28515625" customWidth="1"/>
    <col min="14098" max="14099" width="15.5703125" customWidth="1"/>
    <col min="14100" max="14100" width="8.140625" customWidth="1"/>
    <col min="14101" max="14107" width="0" hidden="1" customWidth="1"/>
    <col min="14108" max="14108" width="34" customWidth="1"/>
    <col min="14339" max="14339" width="6.42578125" customWidth="1"/>
    <col min="14341" max="14341" width="17.28515625" customWidth="1"/>
    <col min="14342" max="14342" width="10.85546875" bestFit="1" customWidth="1"/>
    <col min="14343" max="14343" width="16.140625" customWidth="1"/>
    <col min="14344" max="14344" width="16.5703125" customWidth="1"/>
    <col min="14345" max="14346" width="13.5703125" customWidth="1"/>
    <col min="14347" max="14347" width="13.85546875" customWidth="1"/>
    <col min="14348" max="14348" width="13.42578125" customWidth="1"/>
    <col min="14349" max="14349" width="16.28515625" customWidth="1"/>
    <col min="14350" max="14350" width="12.5703125" customWidth="1"/>
    <col min="14351" max="14351" width="8.140625" customWidth="1"/>
    <col min="14352" max="14352" width="15.5703125" customWidth="1"/>
    <col min="14353" max="14353" width="12.28515625" customWidth="1"/>
    <col min="14354" max="14355" width="15.5703125" customWidth="1"/>
    <col min="14356" max="14356" width="8.140625" customWidth="1"/>
    <col min="14357" max="14363" width="0" hidden="1" customWidth="1"/>
    <col min="14364" max="14364" width="34" customWidth="1"/>
    <col min="14595" max="14595" width="6.42578125" customWidth="1"/>
    <col min="14597" max="14597" width="17.28515625" customWidth="1"/>
    <col min="14598" max="14598" width="10.85546875" bestFit="1" customWidth="1"/>
    <col min="14599" max="14599" width="16.140625" customWidth="1"/>
    <col min="14600" max="14600" width="16.5703125" customWidth="1"/>
    <col min="14601" max="14602" width="13.5703125" customWidth="1"/>
    <col min="14603" max="14603" width="13.85546875" customWidth="1"/>
    <col min="14604" max="14604" width="13.42578125" customWidth="1"/>
    <col min="14605" max="14605" width="16.28515625" customWidth="1"/>
    <col min="14606" max="14606" width="12.5703125" customWidth="1"/>
    <col min="14607" max="14607" width="8.140625" customWidth="1"/>
    <col min="14608" max="14608" width="15.5703125" customWidth="1"/>
    <col min="14609" max="14609" width="12.28515625" customWidth="1"/>
    <col min="14610" max="14611" width="15.5703125" customWidth="1"/>
    <col min="14612" max="14612" width="8.140625" customWidth="1"/>
    <col min="14613" max="14619" width="0" hidden="1" customWidth="1"/>
    <col min="14620" max="14620" width="34" customWidth="1"/>
    <col min="14851" max="14851" width="6.42578125" customWidth="1"/>
    <col min="14853" max="14853" width="17.28515625" customWidth="1"/>
    <col min="14854" max="14854" width="10.85546875" bestFit="1" customWidth="1"/>
    <col min="14855" max="14855" width="16.140625" customWidth="1"/>
    <col min="14856" max="14856" width="16.5703125" customWidth="1"/>
    <col min="14857" max="14858" width="13.5703125" customWidth="1"/>
    <col min="14859" max="14859" width="13.85546875" customWidth="1"/>
    <col min="14860" max="14860" width="13.42578125" customWidth="1"/>
    <col min="14861" max="14861" width="16.28515625" customWidth="1"/>
    <col min="14862" max="14862" width="12.5703125" customWidth="1"/>
    <col min="14863" max="14863" width="8.140625" customWidth="1"/>
    <col min="14864" max="14864" width="15.5703125" customWidth="1"/>
    <col min="14865" max="14865" width="12.28515625" customWidth="1"/>
    <col min="14866" max="14867" width="15.5703125" customWidth="1"/>
    <col min="14868" max="14868" width="8.140625" customWidth="1"/>
    <col min="14869" max="14875" width="0" hidden="1" customWidth="1"/>
    <col min="14876" max="14876" width="34" customWidth="1"/>
    <col min="15107" max="15107" width="6.42578125" customWidth="1"/>
    <col min="15109" max="15109" width="17.28515625" customWidth="1"/>
    <col min="15110" max="15110" width="10.85546875" bestFit="1" customWidth="1"/>
    <col min="15111" max="15111" width="16.140625" customWidth="1"/>
    <col min="15112" max="15112" width="16.5703125" customWidth="1"/>
    <col min="15113" max="15114" width="13.5703125" customWidth="1"/>
    <col min="15115" max="15115" width="13.85546875" customWidth="1"/>
    <col min="15116" max="15116" width="13.42578125" customWidth="1"/>
    <col min="15117" max="15117" width="16.28515625" customWidth="1"/>
    <col min="15118" max="15118" width="12.5703125" customWidth="1"/>
    <col min="15119" max="15119" width="8.140625" customWidth="1"/>
    <col min="15120" max="15120" width="15.5703125" customWidth="1"/>
    <col min="15121" max="15121" width="12.28515625" customWidth="1"/>
    <col min="15122" max="15123" width="15.5703125" customWidth="1"/>
    <col min="15124" max="15124" width="8.140625" customWidth="1"/>
    <col min="15125" max="15131" width="0" hidden="1" customWidth="1"/>
    <col min="15132" max="15132" width="34" customWidth="1"/>
    <col min="15363" max="15363" width="6.42578125" customWidth="1"/>
    <col min="15365" max="15365" width="17.28515625" customWidth="1"/>
    <col min="15366" max="15366" width="10.85546875" bestFit="1" customWidth="1"/>
    <col min="15367" max="15367" width="16.140625" customWidth="1"/>
    <col min="15368" max="15368" width="16.5703125" customWidth="1"/>
    <col min="15369" max="15370" width="13.5703125" customWidth="1"/>
    <col min="15371" max="15371" width="13.85546875" customWidth="1"/>
    <col min="15372" max="15372" width="13.42578125" customWidth="1"/>
    <col min="15373" max="15373" width="16.28515625" customWidth="1"/>
    <col min="15374" max="15374" width="12.5703125" customWidth="1"/>
    <col min="15375" max="15375" width="8.140625" customWidth="1"/>
    <col min="15376" max="15376" width="15.5703125" customWidth="1"/>
    <col min="15377" max="15377" width="12.28515625" customWidth="1"/>
    <col min="15378" max="15379" width="15.5703125" customWidth="1"/>
    <col min="15380" max="15380" width="8.140625" customWidth="1"/>
    <col min="15381" max="15387" width="0" hidden="1" customWidth="1"/>
    <col min="15388" max="15388" width="34" customWidth="1"/>
    <col min="15619" max="15619" width="6.42578125" customWidth="1"/>
    <col min="15621" max="15621" width="17.28515625" customWidth="1"/>
    <col min="15622" max="15622" width="10.85546875" bestFit="1" customWidth="1"/>
    <col min="15623" max="15623" width="16.140625" customWidth="1"/>
    <col min="15624" max="15624" width="16.5703125" customWidth="1"/>
    <col min="15625" max="15626" width="13.5703125" customWidth="1"/>
    <col min="15627" max="15627" width="13.85546875" customWidth="1"/>
    <col min="15628" max="15628" width="13.42578125" customWidth="1"/>
    <col min="15629" max="15629" width="16.28515625" customWidth="1"/>
    <col min="15630" max="15630" width="12.5703125" customWidth="1"/>
    <col min="15631" max="15631" width="8.140625" customWidth="1"/>
    <col min="15632" max="15632" width="15.5703125" customWidth="1"/>
    <col min="15633" max="15633" width="12.28515625" customWidth="1"/>
    <col min="15634" max="15635" width="15.5703125" customWidth="1"/>
    <col min="15636" max="15636" width="8.140625" customWidth="1"/>
    <col min="15637" max="15643" width="0" hidden="1" customWidth="1"/>
    <col min="15644" max="15644" width="34" customWidth="1"/>
    <col min="15875" max="15875" width="6.42578125" customWidth="1"/>
    <col min="15877" max="15877" width="17.28515625" customWidth="1"/>
    <col min="15878" max="15878" width="10.85546875" bestFit="1" customWidth="1"/>
    <col min="15879" max="15879" width="16.140625" customWidth="1"/>
    <col min="15880" max="15880" width="16.5703125" customWidth="1"/>
    <col min="15881" max="15882" width="13.5703125" customWidth="1"/>
    <col min="15883" max="15883" width="13.85546875" customWidth="1"/>
    <col min="15884" max="15884" width="13.42578125" customWidth="1"/>
    <col min="15885" max="15885" width="16.28515625" customWidth="1"/>
    <col min="15886" max="15886" width="12.5703125" customWidth="1"/>
    <col min="15887" max="15887" width="8.140625" customWidth="1"/>
    <col min="15888" max="15888" width="15.5703125" customWidth="1"/>
    <col min="15889" max="15889" width="12.28515625" customWidth="1"/>
    <col min="15890" max="15891" width="15.5703125" customWidth="1"/>
    <col min="15892" max="15892" width="8.140625" customWidth="1"/>
    <col min="15893" max="15899" width="0" hidden="1" customWidth="1"/>
    <col min="15900" max="15900" width="34" customWidth="1"/>
    <col min="16131" max="16131" width="6.42578125" customWidth="1"/>
    <col min="16133" max="16133" width="17.28515625" customWidth="1"/>
    <col min="16134" max="16134" width="10.85546875" bestFit="1" customWidth="1"/>
    <col min="16135" max="16135" width="16.140625" customWidth="1"/>
    <col min="16136" max="16136" width="16.5703125" customWidth="1"/>
    <col min="16137" max="16138" width="13.5703125" customWidth="1"/>
    <col min="16139" max="16139" width="13.85546875" customWidth="1"/>
    <col min="16140" max="16140" width="13.42578125" customWidth="1"/>
    <col min="16141" max="16141" width="16.28515625" customWidth="1"/>
    <col min="16142" max="16142" width="12.5703125" customWidth="1"/>
    <col min="16143" max="16143" width="8.140625" customWidth="1"/>
    <col min="16144" max="16144" width="15.5703125" customWidth="1"/>
    <col min="16145" max="16145" width="12.28515625" customWidth="1"/>
    <col min="16146" max="16147" width="15.5703125" customWidth="1"/>
    <col min="16148" max="16148" width="8.140625" customWidth="1"/>
    <col min="16149" max="16155" width="0" hidden="1" customWidth="1"/>
    <col min="16156" max="16156" width="34" customWidth="1"/>
  </cols>
  <sheetData>
    <row r="1" spans="1:28" ht="15.75" hidden="1" customHeight="1" x14ac:dyDescent="0.25">
      <c r="A1" s="489" t="s">
        <v>502</v>
      </c>
      <c r="B1" s="489"/>
      <c r="C1" s="489"/>
      <c r="D1" s="489"/>
      <c r="E1" s="489"/>
      <c r="F1" s="489"/>
      <c r="G1" s="489"/>
      <c r="H1" s="489"/>
      <c r="I1" s="489"/>
      <c r="J1" s="489"/>
      <c r="K1" s="489"/>
      <c r="L1" s="489"/>
      <c r="M1" s="489"/>
      <c r="N1" s="489"/>
      <c r="O1" s="489"/>
      <c r="P1" s="489"/>
      <c r="Q1" s="489"/>
      <c r="R1" s="489"/>
      <c r="S1" s="489"/>
      <c r="T1" s="489"/>
      <c r="U1" s="489"/>
      <c r="V1" s="489"/>
      <c r="W1" s="489"/>
      <c r="X1" s="489"/>
      <c r="Y1" s="489"/>
      <c r="Z1" s="489"/>
      <c r="AA1" s="489"/>
      <c r="AB1" s="352"/>
    </row>
    <row r="2" spans="1:28" ht="33" hidden="1" customHeight="1" x14ac:dyDescent="0.25">
      <c r="A2" s="490"/>
      <c r="B2" s="490"/>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352"/>
    </row>
    <row r="3" spans="1:28" ht="15.75" customHeight="1" x14ac:dyDescent="0.25">
      <c r="A3" s="491" t="s">
        <v>503</v>
      </c>
      <c r="B3" s="490"/>
      <c r="C3" s="490"/>
      <c r="D3" s="490"/>
      <c r="E3" s="490"/>
      <c r="F3" s="490"/>
      <c r="G3" s="490"/>
      <c r="H3" s="490"/>
      <c r="I3" s="490"/>
      <c r="J3" s="490"/>
      <c r="K3" s="490"/>
      <c r="L3" s="490"/>
      <c r="M3" s="490"/>
      <c r="N3" s="490"/>
      <c r="O3" s="490"/>
      <c r="P3" s="490"/>
      <c r="Q3" s="490"/>
      <c r="R3" s="490"/>
      <c r="S3" s="490"/>
      <c r="T3" s="490"/>
      <c r="U3" s="490"/>
      <c r="V3" s="490"/>
      <c r="W3" s="490"/>
      <c r="X3" s="490"/>
      <c r="Y3" s="490"/>
      <c r="Z3" s="490"/>
      <c r="AA3" s="490"/>
      <c r="AB3" s="490"/>
    </row>
    <row r="4" spans="1:28" ht="33" customHeight="1" x14ac:dyDescent="0.25">
      <c r="A4" s="491"/>
      <c r="B4" s="490"/>
      <c r="C4" s="490"/>
      <c r="D4" s="490"/>
      <c r="E4" s="490"/>
      <c r="F4" s="490"/>
      <c r="G4" s="490"/>
      <c r="H4" s="490"/>
      <c r="I4" s="490"/>
      <c r="J4" s="490"/>
      <c r="K4" s="490"/>
      <c r="L4" s="490"/>
      <c r="M4" s="490"/>
      <c r="N4" s="490"/>
      <c r="O4" s="490"/>
      <c r="P4" s="490"/>
      <c r="Q4" s="490"/>
      <c r="R4" s="490"/>
      <c r="S4" s="490"/>
      <c r="T4" s="490"/>
      <c r="U4" s="490"/>
      <c r="V4" s="490"/>
      <c r="W4" s="490"/>
      <c r="X4" s="490"/>
      <c r="Y4" s="490"/>
      <c r="Z4" s="490"/>
      <c r="AA4" s="490"/>
      <c r="AB4" s="490"/>
    </row>
    <row r="5" spans="1:28" s="356" customFormat="1" ht="84" customHeight="1" x14ac:dyDescent="0.25">
      <c r="A5" s="353" t="s">
        <v>504</v>
      </c>
      <c r="B5" s="492" t="s">
        <v>505</v>
      </c>
      <c r="C5" s="492"/>
      <c r="D5" s="354" t="s">
        <v>506</v>
      </c>
      <c r="E5" s="354" t="s">
        <v>507</v>
      </c>
      <c r="F5" s="354" t="s">
        <v>508</v>
      </c>
      <c r="G5" s="354" t="s">
        <v>509</v>
      </c>
      <c r="H5" s="354" t="s">
        <v>510</v>
      </c>
      <c r="I5" s="354" t="s">
        <v>511</v>
      </c>
      <c r="J5" s="354" t="s">
        <v>512</v>
      </c>
      <c r="K5" s="354" t="s">
        <v>513</v>
      </c>
      <c r="L5" s="354" t="s">
        <v>514</v>
      </c>
      <c r="M5" s="354" t="s">
        <v>515</v>
      </c>
      <c r="N5" s="354" t="s">
        <v>516</v>
      </c>
      <c r="O5" s="354" t="s">
        <v>517</v>
      </c>
      <c r="P5" s="354" t="s">
        <v>548</v>
      </c>
      <c r="Q5" s="354" t="s">
        <v>518</v>
      </c>
      <c r="R5" s="354" t="s">
        <v>519</v>
      </c>
      <c r="S5" s="354" t="s">
        <v>520</v>
      </c>
      <c r="T5" s="354" t="s">
        <v>515</v>
      </c>
      <c r="U5" s="354" t="s">
        <v>521</v>
      </c>
      <c r="V5" s="354" t="s">
        <v>522</v>
      </c>
      <c r="W5" s="354" t="s">
        <v>523</v>
      </c>
      <c r="X5" s="354" t="s">
        <v>524</v>
      </c>
      <c r="Y5" s="354" t="s">
        <v>515</v>
      </c>
      <c r="Z5" s="354" t="s">
        <v>525</v>
      </c>
      <c r="AA5" s="355" t="s">
        <v>526</v>
      </c>
      <c r="AB5" s="354" t="s">
        <v>527</v>
      </c>
    </row>
    <row r="6" spans="1:28" s="356" customFormat="1" ht="27.75" customHeight="1" x14ac:dyDescent="0.25">
      <c r="A6" s="357">
        <v>1</v>
      </c>
      <c r="B6" s="487"/>
      <c r="C6" s="488"/>
      <c r="D6" s="358" t="s">
        <v>546</v>
      </c>
      <c r="E6" s="359"/>
      <c r="F6" s="360">
        <f>'12x36 DA'!C26</f>
        <v>2593.73</v>
      </c>
      <c r="G6" s="360">
        <f>'12x36 DA'!C27</f>
        <v>778.11900000000003</v>
      </c>
      <c r="H6" s="360">
        <v>0</v>
      </c>
      <c r="I6" s="360"/>
      <c r="J6" s="360"/>
      <c r="K6" s="361">
        <f>SUM(F6:J6)</f>
        <v>3371.8490000000002</v>
      </c>
      <c r="L6" s="361">
        <f t="shared" ref="L6:L18" si="0">K6*8.33%</f>
        <v>280.87502169999999</v>
      </c>
      <c r="M6" s="362">
        <v>1</v>
      </c>
      <c r="N6" s="363">
        <f t="shared" ref="N6:N18" si="1">M6*L6</f>
        <v>280.87502169999999</v>
      </c>
      <c r="O6" s="364">
        <f>K6*11.11%</f>
        <v>374.61242390000001</v>
      </c>
      <c r="P6" s="364">
        <f>K6*3.44%</f>
        <v>115.9916056</v>
      </c>
      <c r="Q6" s="361">
        <f>(N6+O6+P6)*35.3%</f>
        <v>272.33210507359996</v>
      </c>
      <c r="R6" s="365"/>
      <c r="S6" s="365"/>
      <c r="T6" s="362"/>
      <c r="U6" s="366">
        <f t="shared" ref="U6:U18" si="2">O6*T6</f>
        <v>0</v>
      </c>
      <c r="V6" s="361" t="s">
        <v>528</v>
      </c>
      <c r="W6" s="366">
        <f t="shared" ref="W6:W16" si="3">(N6+U6)*7.82%</f>
        <v>21.964426696940002</v>
      </c>
      <c r="X6" s="367"/>
      <c r="Y6" s="367"/>
      <c r="Z6" s="366"/>
      <c r="AA6" s="368">
        <f t="shared" ref="AA6:AA18" si="4">W6+U6+N6</f>
        <v>302.83944839693999</v>
      </c>
      <c r="AB6" s="363"/>
    </row>
    <row r="7" spans="1:28" s="356" customFormat="1" ht="27.75" customHeight="1" x14ac:dyDescent="0.25">
      <c r="A7" s="369">
        <v>2</v>
      </c>
      <c r="B7" s="485"/>
      <c r="C7" s="486"/>
      <c r="D7" s="358" t="s">
        <v>546</v>
      </c>
      <c r="E7" s="359"/>
      <c r="F7" s="360">
        <f>F6</f>
        <v>2593.73</v>
      </c>
      <c r="G7" s="360">
        <f t="shared" ref="G7:G31" si="5">F7*30%</f>
        <v>778.11900000000003</v>
      </c>
      <c r="H7" s="360">
        <v>0</v>
      </c>
      <c r="I7" s="370"/>
      <c r="J7" s="370"/>
      <c r="K7" s="364">
        <f t="shared" ref="K7:K18" si="6">SUM(F7:J7)</f>
        <v>3371.8490000000002</v>
      </c>
      <c r="L7" s="364">
        <f t="shared" si="0"/>
        <v>280.87502169999999</v>
      </c>
      <c r="M7" s="371">
        <v>1</v>
      </c>
      <c r="N7" s="372">
        <f t="shared" si="1"/>
        <v>280.87502169999999</v>
      </c>
      <c r="O7" s="364">
        <f t="shared" ref="O7:O18" si="7">K7*11.11%</f>
        <v>374.61242390000001</v>
      </c>
      <c r="P7" s="364">
        <f t="shared" ref="P7:P18" si="8">K7*3.44%</f>
        <v>115.9916056</v>
      </c>
      <c r="Q7" s="361">
        <f t="shared" ref="Q7:Q18" si="9">(N7+O7+P7)*35.3%</f>
        <v>272.33210507359996</v>
      </c>
      <c r="R7" s="373"/>
      <c r="S7" s="373"/>
      <c r="T7" s="371"/>
      <c r="U7" s="366">
        <f t="shared" si="2"/>
        <v>0</v>
      </c>
      <c r="V7" s="361" t="s">
        <v>528</v>
      </c>
      <c r="W7" s="366">
        <f t="shared" si="3"/>
        <v>21.964426696940002</v>
      </c>
      <c r="X7" s="367"/>
      <c r="Y7" s="367"/>
      <c r="Z7" s="366"/>
      <c r="AA7" s="368">
        <f t="shared" si="4"/>
        <v>302.83944839693999</v>
      </c>
      <c r="AB7" s="363"/>
    </row>
    <row r="8" spans="1:28" s="356" customFormat="1" ht="27.75" customHeight="1" x14ac:dyDescent="0.25">
      <c r="A8" s="357">
        <v>3</v>
      </c>
      <c r="B8" s="487"/>
      <c r="C8" s="488"/>
      <c r="D8" s="358" t="s">
        <v>546</v>
      </c>
      <c r="E8" s="359"/>
      <c r="F8" s="360">
        <f>F7</f>
        <v>2593.73</v>
      </c>
      <c r="G8" s="360">
        <f>G7</f>
        <v>778.11900000000003</v>
      </c>
      <c r="H8" s="360">
        <v>0</v>
      </c>
      <c r="I8" s="360"/>
      <c r="J8" s="360"/>
      <c r="K8" s="361">
        <f>SUM(F8:J8)</f>
        <v>3371.8490000000002</v>
      </c>
      <c r="L8" s="361">
        <f t="shared" ref="L8:L9" si="10">K8*8.33%</f>
        <v>280.87502169999999</v>
      </c>
      <c r="M8" s="362">
        <v>1</v>
      </c>
      <c r="N8" s="363">
        <f t="shared" ref="N8:N9" si="11">M8*L8</f>
        <v>280.87502169999999</v>
      </c>
      <c r="O8" s="364">
        <f>K8*11.11%</f>
        <v>374.61242390000001</v>
      </c>
      <c r="P8" s="364">
        <f t="shared" si="8"/>
        <v>115.9916056</v>
      </c>
      <c r="Q8" s="361">
        <f>(N8+O8+P8)*35.3%</f>
        <v>272.33210507359996</v>
      </c>
      <c r="R8" s="365"/>
      <c r="S8" s="365"/>
      <c r="T8" s="362"/>
      <c r="U8" s="366">
        <f t="shared" si="2"/>
        <v>0</v>
      </c>
      <c r="V8" s="361" t="s">
        <v>528</v>
      </c>
      <c r="W8" s="366">
        <f t="shared" si="3"/>
        <v>21.964426696940002</v>
      </c>
      <c r="X8" s="367"/>
      <c r="Y8" s="367"/>
      <c r="Z8" s="366"/>
      <c r="AA8" s="368">
        <f t="shared" si="4"/>
        <v>302.83944839693999</v>
      </c>
      <c r="AB8" s="363"/>
    </row>
    <row r="9" spans="1:28" s="356" customFormat="1" ht="27.75" customHeight="1" x14ac:dyDescent="0.25">
      <c r="A9" s="369">
        <v>4</v>
      </c>
      <c r="B9" s="485"/>
      <c r="C9" s="486"/>
      <c r="D9" s="358" t="s">
        <v>546</v>
      </c>
      <c r="E9" s="359"/>
      <c r="F9" s="360">
        <v>2955.82</v>
      </c>
      <c r="G9" s="360">
        <f>G6</f>
        <v>778.11900000000003</v>
      </c>
      <c r="H9" s="360">
        <v>0</v>
      </c>
      <c r="I9" s="370"/>
      <c r="J9" s="370"/>
      <c r="K9" s="364">
        <f t="shared" ref="K9" si="12">SUM(F9:J9)</f>
        <v>3733.9390000000003</v>
      </c>
      <c r="L9" s="364">
        <f t="shared" si="10"/>
        <v>311.03711870000001</v>
      </c>
      <c r="M9" s="371">
        <v>1</v>
      </c>
      <c r="N9" s="372">
        <f t="shared" si="11"/>
        <v>311.03711870000001</v>
      </c>
      <c r="O9" s="364">
        <f t="shared" ref="O9" si="13">K9*11.11%</f>
        <v>414.84062289999997</v>
      </c>
      <c r="P9" s="364">
        <f t="shared" si="8"/>
        <v>128.44750160000001</v>
      </c>
      <c r="Q9" s="361">
        <f t="shared" ref="Q9" si="14">(N9+O9+P9)*35.3%</f>
        <v>301.57681084960001</v>
      </c>
      <c r="R9" s="373"/>
      <c r="S9" s="373"/>
      <c r="T9" s="371"/>
      <c r="U9" s="366">
        <f t="shared" si="2"/>
        <v>0</v>
      </c>
      <c r="V9" s="361" t="s">
        <v>528</v>
      </c>
      <c r="W9" s="366">
        <f t="shared" si="3"/>
        <v>24.323102682340004</v>
      </c>
      <c r="X9" s="367"/>
      <c r="Y9" s="367"/>
      <c r="Z9" s="366"/>
      <c r="AA9" s="368">
        <f t="shared" si="4"/>
        <v>335.36022138234</v>
      </c>
      <c r="AB9" s="363"/>
    </row>
    <row r="10" spans="1:28" s="356" customFormat="1" ht="27.75" customHeight="1" x14ac:dyDescent="0.25">
      <c r="A10" s="357">
        <v>5</v>
      </c>
      <c r="B10" s="485"/>
      <c r="C10" s="486"/>
      <c r="D10" s="127" t="s">
        <v>545</v>
      </c>
      <c r="E10" s="359"/>
      <c r="F10" s="360">
        <f>F7</f>
        <v>2593.73</v>
      </c>
      <c r="G10" s="360">
        <f t="shared" si="5"/>
        <v>778.11900000000003</v>
      </c>
      <c r="H10" s="370">
        <f>'12X36 NA'!C29+'12X36 NA'!C30</f>
        <v>367.82000000000005</v>
      </c>
      <c r="I10" s="370"/>
      <c r="J10" s="370"/>
      <c r="K10" s="364">
        <f t="shared" si="6"/>
        <v>3739.6690000000003</v>
      </c>
      <c r="L10" s="364">
        <f t="shared" si="0"/>
        <v>311.5144277</v>
      </c>
      <c r="M10" s="371">
        <v>1</v>
      </c>
      <c r="N10" s="372">
        <f t="shared" si="1"/>
        <v>311.5144277</v>
      </c>
      <c r="O10" s="364">
        <f t="shared" si="7"/>
        <v>415.47722590000001</v>
      </c>
      <c r="P10" s="364">
        <f t="shared" si="8"/>
        <v>128.64461360000001</v>
      </c>
      <c r="Q10" s="361">
        <f t="shared" si="9"/>
        <v>302.0396023216</v>
      </c>
      <c r="R10" s="373"/>
      <c r="S10" s="373"/>
      <c r="T10" s="371"/>
      <c r="U10" s="366">
        <f t="shared" si="2"/>
        <v>0</v>
      </c>
      <c r="V10" s="361" t="s">
        <v>528</v>
      </c>
      <c r="W10" s="366">
        <f t="shared" si="3"/>
        <v>24.360428246140003</v>
      </c>
      <c r="X10" s="367"/>
      <c r="Y10" s="367"/>
      <c r="Z10" s="366"/>
      <c r="AA10" s="368">
        <f t="shared" si="4"/>
        <v>335.87485594613997</v>
      </c>
      <c r="AB10" s="363"/>
    </row>
    <row r="11" spans="1:28" s="356" customFormat="1" ht="27.75" customHeight="1" x14ac:dyDescent="0.25">
      <c r="A11" s="369">
        <v>6</v>
      </c>
      <c r="B11" s="485"/>
      <c r="C11" s="486"/>
      <c r="D11" s="127" t="s">
        <v>545</v>
      </c>
      <c r="E11" s="359"/>
      <c r="F11" s="360">
        <f>F6</f>
        <v>2593.73</v>
      </c>
      <c r="G11" s="360">
        <f t="shared" si="5"/>
        <v>778.11900000000003</v>
      </c>
      <c r="H11" s="370">
        <f>H10</f>
        <v>367.82000000000005</v>
      </c>
      <c r="I11" s="370"/>
      <c r="J11" s="370"/>
      <c r="K11" s="364">
        <f t="shared" si="6"/>
        <v>3739.6690000000003</v>
      </c>
      <c r="L11" s="364">
        <f t="shared" si="0"/>
        <v>311.5144277</v>
      </c>
      <c r="M11" s="371">
        <v>1</v>
      </c>
      <c r="N11" s="372">
        <f t="shared" si="1"/>
        <v>311.5144277</v>
      </c>
      <c r="O11" s="364">
        <f t="shared" si="7"/>
        <v>415.47722590000001</v>
      </c>
      <c r="P11" s="364">
        <f t="shared" si="8"/>
        <v>128.64461360000001</v>
      </c>
      <c r="Q11" s="361">
        <f t="shared" si="9"/>
        <v>302.0396023216</v>
      </c>
      <c r="R11" s="373"/>
      <c r="S11" s="373"/>
      <c r="T11" s="371"/>
      <c r="U11" s="366">
        <f t="shared" si="2"/>
        <v>0</v>
      </c>
      <c r="V11" s="361" t="s">
        <v>528</v>
      </c>
      <c r="W11" s="366">
        <f t="shared" si="3"/>
        <v>24.360428246140003</v>
      </c>
      <c r="X11" s="367"/>
      <c r="Y11" s="367"/>
      <c r="Z11" s="366"/>
      <c r="AA11" s="368">
        <f t="shared" si="4"/>
        <v>335.87485594613997</v>
      </c>
      <c r="AB11" s="363"/>
    </row>
    <row r="12" spans="1:28" s="356" customFormat="1" ht="27.75" customHeight="1" x14ac:dyDescent="0.25">
      <c r="A12" s="357">
        <v>7</v>
      </c>
      <c r="B12" s="485"/>
      <c r="C12" s="486"/>
      <c r="D12" s="127" t="s">
        <v>545</v>
      </c>
      <c r="E12" s="359"/>
      <c r="F12" s="360">
        <f>F6</f>
        <v>2593.73</v>
      </c>
      <c r="G12" s="360">
        <f t="shared" si="5"/>
        <v>778.11900000000003</v>
      </c>
      <c r="H12" s="407">
        <f>H11</f>
        <v>367.82000000000005</v>
      </c>
      <c r="I12" s="370"/>
      <c r="J12" s="370"/>
      <c r="K12" s="364">
        <f t="shared" si="6"/>
        <v>3739.6690000000003</v>
      </c>
      <c r="L12" s="364">
        <f t="shared" si="0"/>
        <v>311.5144277</v>
      </c>
      <c r="M12" s="371">
        <v>1</v>
      </c>
      <c r="N12" s="372">
        <f t="shared" si="1"/>
        <v>311.5144277</v>
      </c>
      <c r="O12" s="364">
        <f t="shared" si="7"/>
        <v>415.47722590000001</v>
      </c>
      <c r="P12" s="364">
        <f t="shared" si="8"/>
        <v>128.64461360000001</v>
      </c>
      <c r="Q12" s="361">
        <f t="shared" si="9"/>
        <v>302.0396023216</v>
      </c>
      <c r="R12" s="373"/>
      <c r="S12" s="373"/>
      <c r="T12" s="371"/>
      <c r="U12" s="366">
        <f t="shared" si="2"/>
        <v>0</v>
      </c>
      <c r="V12" s="361" t="s">
        <v>528</v>
      </c>
      <c r="W12" s="366">
        <f t="shared" si="3"/>
        <v>24.360428246140003</v>
      </c>
      <c r="X12" s="367"/>
      <c r="Y12" s="367"/>
      <c r="Z12" s="366"/>
      <c r="AA12" s="368">
        <f t="shared" si="4"/>
        <v>335.87485594613997</v>
      </c>
      <c r="AB12" s="363"/>
    </row>
    <row r="13" spans="1:28" s="356" customFormat="1" ht="27.75" customHeight="1" x14ac:dyDescent="0.25">
      <c r="A13" s="357">
        <v>8</v>
      </c>
      <c r="B13" s="485"/>
      <c r="C13" s="486"/>
      <c r="D13" s="127" t="s">
        <v>545</v>
      </c>
      <c r="E13" s="359"/>
      <c r="F13" s="360">
        <f>F6</f>
        <v>2593.73</v>
      </c>
      <c r="G13" s="360">
        <f>F13*30%</f>
        <v>778.11900000000003</v>
      </c>
      <c r="H13" s="370">
        <f>H12</f>
        <v>367.82000000000005</v>
      </c>
      <c r="I13" s="370"/>
      <c r="J13" s="370"/>
      <c r="K13" s="364">
        <f t="shared" si="6"/>
        <v>3739.6690000000003</v>
      </c>
      <c r="L13" s="364">
        <f t="shared" si="0"/>
        <v>311.5144277</v>
      </c>
      <c r="M13" s="371">
        <v>1</v>
      </c>
      <c r="N13" s="372">
        <f t="shared" si="1"/>
        <v>311.5144277</v>
      </c>
      <c r="O13" s="364">
        <f t="shared" si="7"/>
        <v>415.47722590000001</v>
      </c>
      <c r="P13" s="364">
        <f t="shared" si="8"/>
        <v>128.64461360000001</v>
      </c>
      <c r="Q13" s="361">
        <f t="shared" si="9"/>
        <v>302.0396023216</v>
      </c>
      <c r="R13" s="373"/>
      <c r="S13" s="373"/>
      <c r="T13" s="371"/>
      <c r="U13" s="366">
        <f t="shared" si="2"/>
        <v>0</v>
      </c>
      <c r="V13" s="361" t="s">
        <v>528</v>
      </c>
      <c r="W13" s="366">
        <f t="shared" si="3"/>
        <v>24.360428246140003</v>
      </c>
      <c r="X13" s="367"/>
      <c r="Y13" s="367"/>
      <c r="Z13" s="366"/>
      <c r="AA13" s="368">
        <f t="shared" si="4"/>
        <v>335.87485594613997</v>
      </c>
      <c r="AB13" s="363"/>
    </row>
    <row r="14" spans="1:28" s="374" customFormat="1" ht="27.75" customHeight="1" x14ac:dyDescent="0.25">
      <c r="A14" s="357">
        <v>9</v>
      </c>
      <c r="B14" s="485"/>
      <c r="C14" s="486"/>
      <c r="D14" s="127" t="s">
        <v>547</v>
      </c>
      <c r="E14" s="359"/>
      <c r="F14" s="360">
        <f>F6</f>
        <v>2593.73</v>
      </c>
      <c r="G14" s="360">
        <f>F14*30%</f>
        <v>778.11900000000003</v>
      </c>
      <c r="H14" s="370"/>
      <c r="I14" s="370"/>
      <c r="J14" s="370"/>
      <c r="K14" s="364">
        <f>SUM(F14:J14)</f>
        <v>3371.8490000000002</v>
      </c>
      <c r="L14" s="364">
        <f t="shared" si="0"/>
        <v>280.87502169999999</v>
      </c>
      <c r="M14" s="371">
        <v>1</v>
      </c>
      <c r="N14" s="372">
        <f t="shared" si="1"/>
        <v>280.87502169999999</v>
      </c>
      <c r="O14" s="364">
        <f t="shared" si="7"/>
        <v>374.61242390000001</v>
      </c>
      <c r="P14" s="364">
        <f t="shared" si="8"/>
        <v>115.9916056</v>
      </c>
      <c r="Q14" s="361">
        <f t="shared" si="9"/>
        <v>272.33210507359996</v>
      </c>
      <c r="R14" s="373"/>
      <c r="S14" s="373"/>
      <c r="T14" s="371"/>
      <c r="U14" s="366">
        <f t="shared" si="2"/>
        <v>0</v>
      </c>
      <c r="V14" s="361" t="s">
        <v>528</v>
      </c>
      <c r="W14" s="366">
        <f t="shared" si="3"/>
        <v>21.964426696940002</v>
      </c>
      <c r="X14" s="367"/>
      <c r="Y14" s="367"/>
      <c r="Z14" s="366"/>
      <c r="AA14" s="368">
        <f t="shared" si="4"/>
        <v>302.83944839693999</v>
      </c>
      <c r="AB14" s="363"/>
    </row>
    <row r="15" spans="1:28" s="356" customFormat="1" ht="27.75" customHeight="1" x14ac:dyDescent="0.25">
      <c r="A15" s="357">
        <v>10</v>
      </c>
      <c r="B15" s="485"/>
      <c r="C15" s="486"/>
      <c r="D15" s="127" t="s">
        <v>547</v>
      </c>
      <c r="E15" s="359"/>
      <c r="F15" s="360">
        <f>F6</f>
        <v>2593.73</v>
      </c>
      <c r="G15" s="360">
        <f t="shared" si="5"/>
        <v>778.11900000000003</v>
      </c>
      <c r="H15" s="370"/>
      <c r="I15" s="370"/>
      <c r="J15" s="370"/>
      <c r="K15" s="364">
        <f t="shared" si="6"/>
        <v>3371.8490000000002</v>
      </c>
      <c r="L15" s="364">
        <f t="shared" si="0"/>
        <v>280.87502169999999</v>
      </c>
      <c r="M15" s="371">
        <v>1</v>
      </c>
      <c r="N15" s="372">
        <f t="shared" si="1"/>
        <v>280.87502169999999</v>
      </c>
      <c r="O15" s="364">
        <f t="shared" si="7"/>
        <v>374.61242390000001</v>
      </c>
      <c r="P15" s="364">
        <f t="shared" si="8"/>
        <v>115.9916056</v>
      </c>
      <c r="Q15" s="361">
        <f t="shared" si="9"/>
        <v>272.33210507359996</v>
      </c>
      <c r="R15" s="373"/>
      <c r="S15" s="373"/>
      <c r="T15" s="371"/>
      <c r="U15" s="366">
        <f t="shared" si="2"/>
        <v>0</v>
      </c>
      <c r="V15" s="361" t="s">
        <v>528</v>
      </c>
      <c r="W15" s="366">
        <f t="shared" si="3"/>
        <v>21.964426696940002</v>
      </c>
      <c r="X15" s="367"/>
      <c r="Y15" s="367"/>
      <c r="Z15" s="366"/>
      <c r="AA15" s="368">
        <f t="shared" si="4"/>
        <v>302.83944839693999</v>
      </c>
      <c r="AB15" s="363"/>
    </row>
    <row r="16" spans="1:28" s="356" customFormat="1" ht="27.75" customHeight="1" x14ac:dyDescent="0.25">
      <c r="A16" s="357">
        <v>11</v>
      </c>
      <c r="B16" s="485"/>
      <c r="C16" s="486"/>
      <c r="D16" s="127" t="s">
        <v>547</v>
      </c>
      <c r="E16" s="359"/>
      <c r="F16" s="360">
        <f>F6</f>
        <v>2593.73</v>
      </c>
      <c r="G16" s="360">
        <f>F16*30%</f>
        <v>778.11900000000003</v>
      </c>
      <c r="H16" s="370"/>
      <c r="I16" s="370"/>
      <c r="J16" s="370"/>
      <c r="K16" s="364">
        <f t="shared" si="6"/>
        <v>3371.8490000000002</v>
      </c>
      <c r="L16" s="364">
        <f t="shared" si="0"/>
        <v>280.87502169999999</v>
      </c>
      <c r="M16" s="371">
        <v>1</v>
      </c>
      <c r="N16" s="372">
        <f t="shared" si="1"/>
        <v>280.87502169999999</v>
      </c>
      <c r="O16" s="364">
        <f t="shared" si="7"/>
        <v>374.61242390000001</v>
      </c>
      <c r="P16" s="364">
        <f t="shared" si="8"/>
        <v>115.9916056</v>
      </c>
      <c r="Q16" s="361">
        <f t="shared" si="9"/>
        <v>272.33210507359996</v>
      </c>
      <c r="R16" s="373"/>
      <c r="S16" s="373"/>
      <c r="T16" s="371"/>
      <c r="U16" s="366">
        <f t="shared" si="2"/>
        <v>0</v>
      </c>
      <c r="V16" s="361" t="s">
        <v>528</v>
      </c>
      <c r="W16" s="366">
        <f t="shared" si="3"/>
        <v>21.964426696940002</v>
      </c>
      <c r="X16" s="367"/>
      <c r="Y16" s="367"/>
      <c r="Z16" s="366"/>
      <c r="AA16" s="368">
        <f t="shared" si="4"/>
        <v>302.83944839693999</v>
      </c>
      <c r="AB16" s="363"/>
    </row>
    <row r="17" spans="1:28" s="374" customFormat="1" ht="27.75" customHeight="1" x14ac:dyDescent="0.25">
      <c r="A17" s="369">
        <v>12</v>
      </c>
      <c r="B17" s="485"/>
      <c r="C17" s="486"/>
      <c r="D17" s="127" t="s">
        <v>547</v>
      </c>
      <c r="E17" s="359"/>
      <c r="F17" s="360">
        <f>F6</f>
        <v>2593.73</v>
      </c>
      <c r="G17" s="360">
        <f>F17*30%</f>
        <v>778.11900000000003</v>
      </c>
      <c r="H17" s="370"/>
      <c r="I17" s="370"/>
      <c r="J17" s="370"/>
      <c r="K17" s="364">
        <f t="shared" si="6"/>
        <v>3371.8490000000002</v>
      </c>
      <c r="L17" s="364">
        <f t="shared" si="0"/>
        <v>280.87502169999999</v>
      </c>
      <c r="M17" s="371">
        <v>1</v>
      </c>
      <c r="N17" s="372">
        <f t="shared" si="1"/>
        <v>280.87502169999999</v>
      </c>
      <c r="O17" s="364">
        <f t="shared" si="7"/>
        <v>374.61242390000001</v>
      </c>
      <c r="P17" s="364">
        <f t="shared" si="8"/>
        <v>115.9916056</v>
      </c>
      <c r="Q17" s="361">
        <f t="shared" si="9"/>
        <v>272.33210507359996</v>
      </c>
      <c r="R17" s="364"/>
      <c r="S17" s="364"/>
      <c r="T17" s="371"/>
      <c r="U17" s="366">
        <f t="shared" si="2"/>
        <v>0</v>
      </c>
      <c r="V17" s="361" t="s">
        <v>528</v>
      </c>
      <c r="W17" s="366"/>
      <c r="X17" s="367"/>
      <c r="Y17" s="367"/>
      <c r="Z17" s="366"/>
      <c r="AA17" s="368">
        <f t="shared" si="4"/>
        <v>280.87502169999999</v>
      </c>
      <c r="AB17" s="363"/>
    </row>
    <row r="18" spans="1:28" s="356" customFormat="1" ht="27.75" customHeight="1" x14ac:dyDescent="0.25">
      <c r="A18" s="357">
        <v>13</v>
      </c>
      <c r="B18" s="485"/>
      <c r="C18" s="486"/>
      <c r="D18" s="127" t="s">
        <v>547</v>
      </c>
      <c r="E18" s="359"/>
      <c r="F18" s="360">
        <f>F6</f>
        <v>2593.73</v>
      </c>
      <c r="G18" s="360">
        <f t="shared" si="5"/>
        <v>778.11900000000003</v>
      </c>
      <c r="H18" s="370"/>
      <c r="I18" s="370"/>
      <c r="J18" s="370"/>
      <c r="K18" s="364">
        <f t="shared" si="6"/>
        <v>3371.8490000000002</v>
      </c>
      <c r="L18" s="364">
        <f t="shared" si="0"/>
        <v>280.87502169999999</v>
      </c>
      <c r="M18" s="371">
        <v>1</v>
      </c>
      <c r="N18" s="372">
        <f t="shared" si="1"/>
        <v>280.87502169999999</v>
      </c>
      <c r="O18" s="364">
        <f t="shared" si="7"/>
        <v>374.61242390000001</v>
      </c>
      <c r="P18" s="364">
        <f t="shared" si="8"/>
        <v>115.9916056</v>
      </c>
      <c r="Q18" s="361">
        <f t="shared" si="9"/>
        <v>272.33210507359996</v>
      </c>
      <c r="R18" s="373"/>
      <c r="S18" s="373"/>
      <c r="T18" s="371"/>
      <c r="U18" s="366">
        <f t="shared" si="2"/>
        <v>0</v>
      </c>
      <c r="V18" s="361" t="s">
        <v>528</v>
      </c>
      <c r="W18" s="366">
        <f>(N18+U18)*7.82%</f>
        <v>21.964426696940002</v>
      </c>
      <c r="X18" s="367"/>
      <c r="Y18" s="367"/>
      <c r="Z18" s="366"/>
      <c r="AA18" s="368">
        <f t="shared" si="4"/>
        <v>302.83944839693999</v>
      </c>
      <c r="AB18" s="363"/>
    </row>
    <row r="19" spans="1:28" s="356" customFormat="1" ht="12.75" hidden="1" customHeight="1" x14ac:dyDescent="0.25">
      <c r="A19" s="369">
        <v>54</v>
      </c>
      <c r="B19" s="493" t="s">
        <v>529</v>
      </c>
      <c r="C19" s="493"/>
      <c r="D19" s="127"/>
      <c r="E19" s="375"/>
      <c r="F19" s="376"/>
      <c r="G19" s="360">
        <f t="shared" si="5"/>
        <v>0</v>
      </c>
      <c r="H19" s="376"/>
      <c r="I19" s="377">
        <f>SUM(I7:I18)</f>
        <v>0</v>
      </c>
      <c r="J19" s="377">
        <f>SUM(J7:J18)</f>
        <v>0</v>
      </c>
      <c r="K19" s="376"/>
      <c r="L19" s="376"/>
      <c r="M19" s="376"/>
      <c r="N19" s="378"/>
      <c r="O19" s="376"/>
      <c r="P19" s="376"/>
      <c r="Q19" s="376"/>
      <c r="R19" s="376"/>
      <c r="S19" s="376"/>
      <c r="T19" s="376"/>
      <c r="U19" s="378"/>
      <c r="V19" s="376"/>
      <c r="W19" s="378"/>
      <c r="X19" s="378"/>
      <c r="Y19" s="378"/>
      <c r="Z19" s="378"/>
      <c r="AA19" s="379"/>
      <c r="AB19" s="380"/>
    </row>
    <row r="20" spans="1:28" s="356" customFormat="1" ht="12.75" hidden="1" customHeight="1" x14ac:dyDescent="0.25">
      <c r="A20" s="369">
        <v>55</v>
      </c>
      <c r="B20" s="493" t="s">
        <v>529</v>
      </c>
      <c r="C20" s="493"/>
      <c r="D20" s="127"/>
      <c r="E20" s="375"/>
      <c r="F20" s="376"/>
      <c r="G20" s="360">
        <f t="shared" si="5"/>
        <v>0</v>
      </c>
      <c r="H20" s="376"/>
      <c r="I20" s="376"/>
      <c r="J20" s="376"/>
      <c r="K20" s="376"/>
      <c r="L20" s="376"/>
      <c r="M20" s="376"/>
      <c r="N20" s="378"/>
      <c r="O20" s="376"/>
      <c r="P20" s="376"/>
      <c r="Q20" s="376"/>
      <c r="R20" s="376"/>
      <c r="S20" s="376"/>
      <c r="T20" s="376"/>
      <c r="U20" s="378"/>
      <c r="V20" s="376"/>
      <c r="W20" s="378"/>
      <c r="X20" s="378"/>
      <c r="Y20" s="378"/>
      <c r="Z20" s="378"/>
      <c r="AA20" s="379"/>
      <c r="AB20" s="380"/>
    </row>
    <row r="21" spans="1:28" s="356" customFormat="1" ht="12.75" hidden="1" customHeight="1" x14ac:dyDescent="0.25">
      <c r="A21" s="369">
        <v>56</v>
      </c>
      <c r="B21" s="493" t="s">
        <v>529</v>
      </c>
      <c r="C21" s="493"/>
      <c r="D21" s="127"/>
      <c r="E21" s="375"/>
      <c r="F21" s="376"/>
      <c r="G21" s="360">
        <f t="shared" si="5"/>
        <v>0</v>
      </c>
      <c r="H21" s="376"/>
      <c r="I21" s="376"/>
      <c r="J21" s="376"/>
      <c r="K21" s="376"/>
      <c r="L21" s="376"/>
      <c r="M21" s="376"/>
      <c r="N21" s="378"/>
      <c r="O21" s="376"/>
      <c r="P21" s="376"/>
      <c r="Q21" s="376"/>
      <c r="R21" s="376"/>
      <c r="S21" s="376"/>
      <c r="T21" s="376"/>
      <c r="U21" s="378"/>
      <c r="V21" s="376"/>
      <c r="W21" s="378"/>
      <c r="X21" s="378"/>
      <c r="Y21" s="378"/>
      <c r="Z21" s="378"/>
      <c r="AA21" s="379"/>
      <c r="AB21" s="380"/>
    </row>
    <row r="22" spans="1:28" s="356" customFormat="1" ht="12.75" hidden="1" customHeight="1" x14ac:dyDescent="0.25">
      <c r="A22" s="369">
        <v>57</v>
      </c>
      <c r="B22" s="493" t="s">
        <v>529</v>
      </c>
      <c r="C22" s="493"/>
      <c r="D22" s="127"/>
      <c r="E22" s="375"/>
      <c r="F22" s="376"/>
      <c r="G22" s="360">
        <f t="shared" si="5"/>
        <v>0</v>
      </c>
      <c r="H22" s="376"/>
      <c r="I22" s="376"/>
      <c r="J22" s="376"/>
      <c r="K22" s="376"/>
      <c r="L22" s="376"/>
      <c r="M22" s="376"/>
      <c r="N22" s="378"/>
      <c r="O22" s="376"/>
      <c r="P22" s="376"/>
      <c r="Q22" s="376"/>
      <c r="R22" s="376"/>
      <c r="S22" s="376"/>
      <c r="T22" s="376"/>
      <c r="U22" s="378"/>
      <c r="V22" s="376"/>
      <c r="W22" s="378"/>
      <c r="X22" s="378"/>
      <c r="Y22" s="378"/>
      <c r="Z22" s="378"/>
      <c r="AA22" s="379"/>
      <c r="AB22" s="380"/>
    </row>
    <row r="23" spans="1:28" s="356" customFormat="1" ht="12.75" hidden="1" customHeight="1" x14ac:dyDescent="0.25">
      <c r="A23" s="369">
        <v>58</v>
      </c>
      <c r="B23" s="493" t="s">
        <v>529</v>
      </c>
      <c r="C23" s="493"/>
      <c r="D23" s="127"/>
      <c r="E23" s="375"/>
      <c r="F23" s="376"/>
      <c r="G23" s="360">
        <f t="shared" si="5"/>
        <v>0</v>
      </c>
      <c r="H23" s="376"/>
      <c r="I23" s="376"/>
      <c r="J23" s="376"/>
      <c r="K23" s="376"/>
      <c r="L23" s="376"/>
      <c r="M23" s="376"/>
      <c r="N23" s="378"/>
      <c r="O23" s="376"/>
      <c r="P23" s="376"/>
      <c r="Q23" s="376"/>
      <c r="R23" s="376"/>
      <c r="S23" s="376"/>
      <c r="T23" s="376"/>
      <c r="U23" s="378"/>
      <c r="V23" s="376"/>
      <c r="W23" s="378"/>
      <c r="X23" s="378"/>
      <c r="Y23" s="378"/>
      <c r="Z23" s="378"/>
      <c r="AA23" s="379"/>
      <c r="AB23" s="380"/>
    </row>
    <row r="24" spans="1:28" s="356" customFormat="1" ht="12.75" hidden="1" customHeight="1" x14ac:dyDescent="0.25">
      <c r="A24" s="369">
        <v>59</v>
      </c>
      <c r="B24" s="493" t="s">
        <v>529</v>
      </c>
      <c r="C24" s="493"/>
      <c r="D24" s="127"/>
      <c r="E24" s="375"/>
      <c r="F24" s="376"/>
      <c r="G24" s="360">
        <f t="shared" si="5"/>
        <v>0</v>
      </c>
      <c r="H24" s="376"/>
      <c r="I24" s="376"/>
      <c r="J24" s="376"/>
      <c r="K24" s="376"/>
      <c r="L24" s="376"/>
      <c r="M24" s="376"/>
      <c r="N24" s="378"/>
      <c r="O24" s="376"/>
      <c r="P24" s="376"/>
      <c r="Q24" s="376"/>
      <c r="R24" s="376"/>
      <c r="S24" s="376"/>
      <c r="T24" s="376"/>
      <c r="U24" s="378"/>
      <c r="V24" s="376"/>
      <c r="W24" s="378"/>
      <c r="X24" s="378"/>
      <c r="Y24" s="378"/>
      <c r="Z24" s="378"/>
      <c r="AA24" s="379"/>
      <c r="AB24" s="380"/>
    </row>
    <row r="25" spans="1:28" s="356" customFormat="1" ht="12.75" hidden="1" customHeight="1" x14ac:dyDescent="0.25">
      <c r="A25" s="369">
        <v>60</v>
      </c>
      <c r="B25" s="493" t="s">
        <v>529</v>
      </c>
      <c r="C25" s="493"/>
      <c r="D25" s="127"/>
      <c r="E25" s="375"/>
      <c r="F25" s="376"/>
      <c r="G25" s="360">
        <f t="shared" si="5"/>
        <v>0</v>
      </c>
      <c r="H25" s="376"/>
      <c r="I25" s="376"/>
      <c r="J25" s="376"/>
      <c r="K25" s="376"/>
      <c r="L25" s="376"/>
      <c r="M25" s="376"/>
      <c r="N25" s="378"/>
      <c r="O25" s="376"/>
      <c r="P25" s="376"/>
      <c r="Q25" s="376"/>
      <c r="R25" s="376"/>
      <c r="S25" s="376"/>
      <c r="T25" s="376"/>
      <c r="U25" s="378"/>
      <c r="V25" s="376"/>
      <c r="W25" s="378"/>
      <c r="X25" s="378"/>
      <c r="Y25" s="378"/>
      <c r="Z25" s="378"/>
      <c r="AA25" s="379"/>
      <c r="AB25" s="380"/>
    </row>
    <row r="26" spans="1:28" s="356" customFormat="1" ht="12.75" hidden="1" customHeight="1" x14ac:dyDescent="0.25">
      <c r="A26" s="369">
        <v>61</v>
      </c>
      <c r="B26" s="493" t="s">
        <v>529</v>
      </c>
      <c r="C26" s="493"/>
      <c r="D26" s="127"/>
      <c r="E26" s="375"/>
      <c r="F26" s="376"/>
      <c r="G26" s="360">
        <f t="shared" si="5"/>
        <v>0</v>
      </c>
      <c r="H26" s="376"/>
      <c r="I26" s="376"/>
      <c r="J26" s="376"/>
      <c r="K26" s="376"/>
      <c r="L26" s="376"/>
      <c r="M26" s="376"/>
      <c r="N26" s="378"/>
      <c r="O26" s="376"/>
      <c r="P26" s="376"/>
      <c r="Q26" s="376"/>
      <c r="R26" s="376"/>
      <c r="S26" s="376"/>
      <c r="T26" s="376"/>
      <c r="U26" s="378"/>
      <c r="V26" s="376"/>
      <c r="W26" s="378"/>
      <c r="X26" s="378"/>
      <c r="Y26" s="378"/>
      <c r="Z26" s="378"/>
      <c r="AA26" s="379"/>
      <c r="AB26" s="380"/>
    </row>
    <row r="27" spans="1:28" s="356" customFormat="1" ht="12.75" hidden="1" customHeight="1" x14ac:dyDescent="0.25">
      <c r="A27" s="369">
        <v>62</v>
      </c>
      <c r="B27" s="493" t="s">
        <v>529</v>
      </c>
      <c r="C27" s="493"/>
      <c r="D27" s="127"/>
      <c r="E27" s="375"/>
      <c r="F27" s="376"/>
      <c r="G27" s="360">
        <f t="shared" si="5"/>
        <v>0</v>
      </c>
      <c r="H27" s="376"/>
      <c r="I27" s="376"/>
      <c r="J27" s="376"/>
      <c r="K27" s="376"/>
      <c r="L27" s="376"/>
      <c r="M27" s="376"/>
      <c r="N27" s="378"/>
      <c r="O27" s="376"/>
      <c r="P27" s="376"/>
      <c r="Q27" s="376"/>
      <c r="R27" s="376"/>
      <c r="S27" s="376"/>
      <c r="T27" s="376"/>
      <c r="U27" s="378"/>
      <c r="V27" s="376"/>
      <c r="W27" s="378"/>
      <c r="X27" s="378"/>
      <c r="Y27" s="378"/>
      <c r="Z27" s="378"/>
      <c r="AA27" s="379"/>
      <c r="AB27" s="380"/>
    </row>
    <row r="28" spans="1:28" s="356" customFormat="1" ht="12.75" hidden="1" customHeight="1" x14ac:dyDescent="0.25">
      <c r="A28" s="369">
        <v>63</v>
      </c>
      <c r="B28" s="493" t="s">
        <v>529</v>
      </c>
      <c r="C28" s="493"/>
      <c r="D28" s="127"/>
      <c r="E28" s="375"/>
      <c r="F28" s="376"/>
      <c r="G28" s="360">
        <f t="shared" si="5"/>
        <v>0</v>
      </c>
      <c r="H28" s="376"/>
      <c r="I28" s="376"/>
      <c r="J28" s="376"/>
      <c r="K28" s="376"/>
      <c r="L28" s="376"/>
      <c r="M28" s="376"/>
      <c r="N28" s="378"/>
      <c r="O28" s="376"/>
      <c r="P28" s="376"/>
      <c r="Q28" s="376"/>
      <c r="R28" s="376"/>
      <c r="S28" s="376"/>
      <c r="T28" s="376"/>
      <c r="U28" s="378"/>
      <c r="V28" s="376"/>
      <c r="W28" s="378"/>
      <c r="X28" s="378"/>
      <c r="Y28" s="378"/>
      <c r="Z28" s="378"/>
      <c r="AA28" s="379"/>
      <c r="AB28" s="380"/>
    </row>
    <row r="29" spans="1:28" s="356" customFormat="1" ht="12.75" hidden="1" customHeight="1" x14ac:dyDescent="0.25">
      <c r="A29" s="369">
        <v>64</v>
      </c>
      <c r="B29" s="493" t="s">
        <v>529</v>
      </c>
      <c r="C29" s="493"/>
      <c r="D29" s="127"/>
      <c r="E29" s="375"/>
      <c r="F29" s="376"/>
      <c r="G29" s="360">
        <f t="shared" si="5"/>
        <v>0</v>
      </c>
      <c r="H29" s="376"/>
      <c r="I29" s="376"/>
      <c r="J29" s="376"/>
      <c r="K29" s="376"/>
      <c r="L29" s="376"/>
      <c r="M29" s="376"/>
      <c r="N29" s="378"/>
      <c r="O29" s="376"/>
      <c r="P29" s="376"/>
      <c r="Q29" s="376"/>
      <c r="R29" s="376"/>
      <c r="S29" s="376"/>
      <c r="T29" s="376"/>
      <c r="U29" s="378"/>
      <c r="V29" s="376"/>
      <c r="W29" s="378"/>
      <c r="X29" s="378"/>
      <c r="Y29" s="378"/>
      <c r="Z29" s="378"/>
      <c r="AA29" s="379"/>
      <c r="AB29" s="380"/>
    </row>
    <row r="30" spans="1:28" s="356" customFormat="1" ht="12.75" hidden="1" customHeight="1" x14ac:dyDescent="0.25">
      <c r="A30" s="369">
        <v>65</v>
      </c>
      <c r="B30" s="493" t="s">
        <v>529</v>
      </c>
      <c r="C30" s="493"/>
      <c r="D30" s="127"/>
      <c r="E30" s="375"/>
      <c r="F30" s="376"/>
      <c r="G30" s="360">
        <f t="shared" si="5"/>
        <v>0</v>
      </c>
      <c r="H30" s="376"/>
      <c r="I30" s="376"/>
      <c r="J30" s="376"/>
      <c r="K30" s="376"/>
      <c r="L30" s="376"/>
      <c r="M30" s="376"/>
      <c r="N30" s="378"/>
      <c r="O30" s="376"/>
      <c r="P30" s="376"/>
      <c r="Q30" s="376"/>
      <c r="R30" s="376"/>
      <c r="S30" s="376"/>
      <c r="T30" s="376"/>
      <c r="U30" s="378"/>
      <c r="V30" s="376"/>
      <c r="W30" s="378"/>
      <c r="X30" s="378"/>
      <c r="Y30" s="378"/>
      <c r="Z30" s="378"/>
      <c r="AA30" s="379"/>
      <c r="AB30" s="380"/>
    </row>
    <row r="31" spans="1:28" s="356" customFormat="1" ht="12.75" hidden="1" customHeight="1" x14ac:dyDescent="0.25">
      <c r="A31" s="369">
        <v>66</v>
      </c>
      <c r="B31" s="493" t="s">
        <v>529</v>
      </c>
      <c r="C31" s="493"/>
      <c r="D31" s="127"/>
      <c r="E31" s="375"/>
      <c r="F31" s="376"/>
      <c r="G31" s="360">
        <f t="shared" si="5"/>
        <v>0</v>
      </c>
      <c r="H31" s="376"/>
      <c r="I31" s="376"/>
      <c r="J31" s="376"/>
      <c r="K31" s="376"/>
      <c r="L31" s="376"/>
      <c r="M31" s="376"/>
      <c r="N31" s="378"/>
      <c r="O31" s="376"/>
      <c r="P31" s="376"/>
      <c r="Q31" s="376"/>
      <c r="R31" s="376"/>
      <c r="S31" s="376"/>
      <c r="T31" s="376"/>
      <c r="U31" s="378"/>
      <c r="V31" s="376"/>
      <c r="W31" s="378"/>
      <c r="X31" s="378"/>
      <c r="Y31" s="378"/>
      <c r="Z31" s="378"/>
      <c r="AA31" s="379"/>
      <c r="AB31" s="380"/>
    </row>
    <row r="32" spans="1:28" s="356" customFormat="1" ht="12.75" hidden="1" customHeight="1" x14ac:dyDescent="0.25">
      <c r="A32" s="369">
        <v>67</v>
      </c>
      <c r="B32" s="493" t="s">
        <v>529</v>
      </c>
      <c r="C32" s="493"/>
      <c r="D32" s="127"/>
      <c r="E32" s="375"/>
      <c r="F32" s="376"/>
      <c r="G32" s="376"/>
      <c r="H32" s="376"/>
      <c r="I32" s="376"/>
      <c r="J32" s="376"/>
      <c r="K32" s="376"/>
      <c r="L32" s="376"/>
      <c r="M32" s="376"/>
      <c r="N32" s="378"/>
      <c r="O32" s="376"/>
      <c r="P32" s="376"/>
      <c r="Q32" s="376"/>
      <c r="R32" s="376"/>
      <c r="S32" s="376"/>
      <c r="T32" s="376"/>
      <c r="U32" s="378"/>
      <c r="V32" s="376"/>
      <c r="W32" s="378"/>
      <c r="X32" s="378"/>
      <c r="Y32" s="378"/>
      <c r="Z32" s="378"/>
      <c r="AA32" s="379"/>
      <c r="AB32" s="380"/>
    </row>
    <row r="33" spans="1:28" s="356" customFormat="1" ht="12.75" hidden="1" customHeight="1" x14ac:dyDescent="0.25">
      <c r="A33" s="369">
        <v>68</v>
      </c>
      <c r="B33" s="493" t="s">
        <v>529</v>
      </c>
      <c r="C33" s="493"/>
      <c r="D33" s="127"/>
      <c r="E33" s="375"/>
      <c r="F33" s="376"/>
      <c r="G33" s="376"/>
      <c r="H33" s="376"/>
      <c r="I33" s="376"/>
      <c r="J33" s="376"/>
      <c r="K33" s="376"/>
      <c r="L33" s="376"/>
      <c r="M33" s="376"/>
      <c r="N33" s="378"/>
      <c r="O33" s="376"/>
      <c r="P33" s="376"/>
      <c r="Q33" s="376"/>
      <c r="R33" s="376"/>
      <c r="S33" s="376"/>
      <c r="T33" s="376"/>
      <c r="U33" s="378"/>
      <c r="V33" s="376"/>
      <c r="W33" s="378"/>
      <c r="X33" s="378"/>
      <c r="Y33" s="378"/>
      <c r="Z33" s="378"/>
      <c r="AA33" s="379"/>
      <c r="AB33" s="380"/>
    </row>
    <row r="34" spans="1:28" s="356" customFormat="1" ht="12.75" hidden="1" customHeight="1" x14ac:dyDescent="0.25">
      <c r="A34" s="369">
        <v>69</v>
      </c>
      <c r="B34" s="493" t="s">
        <v>529</v>
      </c>
      <c r="C34" s="493"/>
      <c r="D34" s="127"/>
      <c r="E34" s="375"/>
      <c r="F34" s="376"/>
      <c r="G34" s="376"/>
      <c r="H34" s="376"/>
      <c r="I34" s="376"/>
      <c r="J34" s="376"/>
      <c r="K34" s="376"/>
      <c r="L34" s="376"/>
      <c r="M34" s="376"/>
      <c r="N34" s="378"/>
      <c r="O34" s="376"/>
      <c r="P34" s="376"/>
      <c r="Q34" s="376"/>
      <c r="R34" s="376"/>
      <c r="S34" s="376"/>
      <c r="T34" s="376"/>
      <c r="U34" s="378"/>
      <c r="V34" s="376"/>
      <c r="W34" s="378"/>
      <c r="X34" s="378"/>
      <c r="Y34" s="378"/>
      <c r="Z34" s="378"/>
      <c r="AA34" s="379"/>
      <c r="AB34" s="380"/>
    </row>
    <row r="35" spans="1:28" s="356" customFormat="1" ht="12.75" hidden="1" customHeight="1" x14ac:dyDescent="0.25">
      <c r="A35" s="369">
        <v>70</v>
      </c>
      <c r="B35" s="493" t="s">
        <v>529</v>
      </c>
      <c r="C35" s="493"/>
      <c r="D35" s="127"/>
      <c r="E35" s="375"/>
      <c r="F35" s="376"/>
      <c r="G35" s="376"/>
      <c r="H35" s="376"/>
      <c r="I35" s="376"/>
      <c r="J35" s="376"/>
      <c r="K35" s="376"/>
      <c r="L35" s="376"/>
      <c r="M35" s="376"/>
      <c r="N35" s="378"/>
      <c r="O35" s="376"/>
      <c r="P35" s="376"/>
      <c r="Q35" s="376"/>
      <c r="R35" s="376"/>
      <c r="S35" s="376"/>
      <c r="T35" s="376"/>
      <c r="U35" s="378"/>
      <c r="V35" s="376"/>
      <c r="W35" s="378"/>
      <c r="X35" s="378"/>
      <c r="Y35" s="378"/>
      <c r="Z35" s="378"/>
      <c r="AA35" s="379"/>
      <c r="AB35" s="380"/>
    </row>
    <row r="36" spans="1:28" s="356" customFormat="1" ht="12.75" hidden="1" customHeight="1" x14ac:dyDescent="0.25">
      <c r="A36" s="369">
        <v>71</v>
      </c>
      <c r="B36" s="493" t="s">
        <v>529</v>
      </c>
      <c r="C36" s="493"/>
      <c r="D36" s="127"/>
      <c r="E36" s="375"/>
      <c r="F36" s="376"/>
      <c r="G36" s="376"/>
      <c r="H36" s="376"/>
      <c r="I36" s="376"/>
      <c r="J36" s="376"/>
      <c r="K36" s="376"/>
      <c r="L36" s="376"/>
      <c r="M36" s="376"/>
      <c r="N36" s="378"/>
      <c r="O36" s="376"/>
      <c r="P36" s="376"/>
      <c r="Q36" s="376"/>
      <c r="R36" s="376"/>
      <c r="S36" s="376"/>
      <c r="T36" s="376"/>
      <c r="U36" s="378"/>
      <c r="V36" s="376"/>
      <c r="W36" s="378"/>
      <c r="X36" s="378"/>
      <c r="Y36" s="378"/>
      <c r="Z36" s="378"/>
      <c r="AA36" s="379"/>
      <c r="AB36" s="380"/>
    </row>
    <row r="37" spans="1:28" s="129" customFormat="1" ht="30.75" hidden="1" customHeight="1" x14ac:dyDescent="0.2">
      <c r="A37" s="494" t="s">
        <v>530</v>
      </c>
      <c r="B37" s="494"/>
      <c r="C37" s="494"/>
      <c r="D37" s="381"/>
      <c r="E37" s="382"/>
      <c r="F37" s="383">
        <f>SUM(F6:F36)</f>
        <v>34080.58</v>
      </c>
      <c r="G37" s="383">
        <f>SUM(G6:G36)</f>
        <v>10115.547</v>
      </c>
      <c r="H37" s="383">
        <f>SUM(H12:H36)</f>
        <v>735.6400000000001</v>
      </c>
      <c r="I37" s="383">
        <f>SUM(I6:I18)</f>
        <v>0</v>
      </c>
      <c r="J37" s="383">
        <f>SUM(J6:J18)</f>
        <v>0</v>
      </c>
      <c r="K37" s="384">
        <f>SUM(K6:K36)</f>
        <v>45667.407000000014</v>
      </c>
      <c r="L37" s="384">
        <f>SUM(L6:L36)</f>
        <v>3804.0950031000007</v>
      </c>
      <c r="M37" s="384"/>
      <c r="N37" s="384">
        <f>SUM(N6:N36)</f>
        <v>3804.0950031000007</v>
      </c>
      <c r="O37" s="384">
        <f>SUM(O6:O36)</f>
        <v>5073.6489177000003</v>
      </c>
      <c r="P37" s="384">
        <f>SUM(P6:P36)</f>
        <v>1570.9588007999996</v>
      </c>
      <c r="Q37" s="384"/>
      <c r="R37" s="384"/>
      <c r="S37" s="384"/>
      <c r="T37" s="384"/>
      <c r="U37" s="384">
        <f>SUM(U6:U36)</f>
        <v>0</v>
      </c>
      <c r="V37" s="384">
        <f>SUM(V6:V36)</f>
        <v>0</v>
      </c>
      <c r="W37" s="384">
        <f>SUM(W6:W36)</f>
        <v>275.51580254548003</v>
      </c>
      <c r="X37" s="384"/>
      <c r="Y37" s="384"/>
      <c r="Z37" s="384">
        <f>SUM(Z6:Z36)</f>
        <v>0</v>
      </c>
      <c r="AA37" s="385">
        <f>SUM(AA6:AA36)</f>
        <v>4079.6108056454805</v>
      </c>
      <c r="AB37" s="386"/>
    </row>
    <row r="38" spans="1:28" s="129" customFormat="1" ht="30.75" hidden="1" customHeight="1" x14ac:dyDescent="0.2">
      <c r="A38" s="494" t="s">
        <v>531</v>
      </c>
      <c r="B38" s="494"/>
      <c r="C38" s="494"/>
      <c r="D38" s="387"/>
      <c r="E38" s="388"/>
      <c r="F38" s="389"/>
      <c r="G38" s="389"/>
      <c r="H38" s="389"/>
      <c r="I38" s="389"/>
      <c r="J38" s="389"/>
      <c r="K38" s="389"/>
      <c r="L38" s="389"/>
      <c r="M38" s="389"/>
      <c r="N38" s="389"/>
      <c r="O38" s="389"/>
      <c r="P38" s="389"/>
      <c r="Q38" s="389"/>
      <c r="R38" s="389"/>
      <c r="S38" s="389"/>
      <c r="T38" s="389"/>
      <c r="U38" s="389"/>
      <c r="V38" s="389"/>
      <c r="W38" s="389"/>
      <c r="X38" s="389"/>
      <c r="Y38" s="389"/>
      <c r="Z38" s="389"/>
      <c r="AA38" s="390"/>
      <c r="AB38" s="391"/>
    </row>
    <row r="39" spans="1:28" s="24" customFormat="1" ht="30" customHeight="1" thickBot="1" x14ac:dyDescent="0.25">
      <c r="A39" s="495" t="s">
        <v>532</v>
      </c>
      <c r="B39" s="496"/>
      <c r="C39" s="496"/>
      <c r="D39" s="496"/>
      <c r="E39" s="496"/>
      <c r="F39" s="496"/>
      <c r="G39" s="496"/>
      <c r="H39" s="496"/>
      <c r="I39" s="496"/>
      <c r="J39" s="496"/>
      <c r="K39" s="496"/>
      <c r="L39" s="496"/>
      <c r="M39" s="497"/>
      <c r="N39" s="392">
        <f>SUM(N6:N18)</f>
        <v>3804.0950031000007</v>
      </c>
      <c r="O39" s="392">
        <f>SUM(O6:O18)</f>
        <v>5073.6489177000003</v>
      </c>
      <c r="P39" s="392">
        <f>SUM(P6:P18)</f>
        <v>1570.9588007999996</v>
      </c>
      <c r="Q39" s="393">
        <f>SUM(Q6:Q18)</f>
        <v>3688.3920607247992</v>
      </c>
      <c r="R39" s="394">
        <f>SUM(N39:Q39)</f>
        <v>14137.094782324799</v>
      </c>
      <c r="S39" s="395"/>
      <c r="T39" s="396"/>
      <c r="U39" s="392">
        <f>SUM(U6:U18)</f>
        <v>0</v>
      </c>
      <c r="V39" s="397"/>
      <c r="W39" s="392">
        <f>SUM(W6:W18)</f>
        <v>275.51580254548003</v>
      </c>
      <c r="X39" s="392"/>
      <c r="Y39" s="392"/>
      <c r="Z39" s="392">
        <f>SUM(Z6:Z18)</f>
        <v>0</v>
      </c>
      <c r="AA39" s="398">
        <f>SUM(AA6:AA18)</f>
        <v>4079.6108056454805</v>
      </c>
      <c r="AB39" s="399"/>
    </row>
    <row r="40" spans="1:28" s="129" customFormat="1" ht="39" hidden="1" customHeight="1" x14ac:dyDescent="0.2">
      <c r="A40" s="498" t="s">
        <v>533</v>
      </c>
      <c r="B40" s="499"/>
      <c r="C40" s="499"/>
      <c r="D40" s="400"/>
      <c r="E40" s="401"/>
      <c r="F40" s="1"/>
      <c r="G40" s="1"/>
      <c r="H40" s="1"/>
      <c r="I40" s="1"/>
      <c r="J40" s="1"/>
      <c r="K40" s="1"/>
      <c r="L40" s="1"/>
      <c r="M40" s="1"/>
      <c r="N40" s="1"/>
      <c r="O40" s="1"/>
      <c r="P40" s="1"/>
      <c r="Q40" s="1"/>
      <c r="R40" s="1"/>
      <c r="S40" s="1"/>
      <c r="T40" s="1"/>
      <c r="U40" s="1"/>
      <c r="V40" s="1"/>
      <c r="W40" s="1"/>
      <c r="X40" s="1"/>
      <c r="Y40" s="1"/>
      <c r="Z40" s="1"/>
      <c r="AA40" s="1"/>
      <c r="AB40" s="19"/>
    </row>
    <row r="41" spans="1:28" s="129" customFormat="1" ht="37.5" hidden="1" customHeight="1" x14ac:dyDescent="0.2">
      <c r="A41" s="498" t="s">
        <v>534</v>
      </c>
      <c r="B41" s="499"/>
      <c r="C41" s="499"/>
      <c r="D41" s="352"/>
      <c r="F41" s="1"/>
      <c r="G41" s="1"/>
      <c r="H41" s="1"/>
      <c r="I41" s="1"/>
      <c r="J41" s="1"/>
      <c r="K41" s="1"/>
      <c r="L41" s="1"/>
      <c r="M41" s="1"/>
      <c r="N41" s="1"/>
      <c r="O41" s="1"/>
      <c r="P41" s="1"/>
      <c r="Q41" s="1"/>
      <c r="R41" s="1"/>
      <c r="S41" s="1"/>
      <c r="T41" s="1"/>
      <c r="U41" s="1"/>
      <c r="V41" s="1"/>
      <c r="W41" s="1"/>
      <c r="X41" s="1"/>
      <c r="Y41" s="1"/>
      <c r="Z41" s="1"/>
      <c r="AA41" s="1"/>
      <c r="AB41" s="19"/>
    </row>
    <row r="42" spans="1:28" s="129" customFormat="1" ht="13.5" hidden="1" thickTop="1" x14ac:dyDescent="0.2">
      <c r="D42" s="352"/>
      <c r="F42" s="1"/>
      <c r="G42" s="1"/>
      <c r="H42" s="1"/>
      <c r="I42" s="1"/>
      <c r="J42" s="1"/>
      <c r="K42" s="1"/>
      <c r="L42" s="1"/>
      <c r="M42" s="1"/>
      <c r="N42" s="1"/>
      <c r="O42" s="1"/>
      <c r="P42" s="1"/>
      <c r="Q42" s="1"/>
      <c r="R42" s="1"/>
      <c r="S42" s="1"/>
      <c r="T42" s="1"/>
      <c r="U42" s="1"/>
      <c r="V42" s="1"/>
      <c r="W42" s="1"/>
      <c r="X42" s="1"/>
      <c r="Y42" s="1"/>
      <c r="Z42" s="1"/>
      <c r="AA42" s="1"/>
      <c r="AB42" s="19"/>
    </row>
    <row r="43" spans="1:28" s="129" customFormat="1" ht="21" hidden="1" customHeight="1" x14ac:dyDescent="0.25">
      <c r="A43" s="500" t="s">
        <v>535</v>
      </c>
      <c r="B43" s="500"/>
      <c r="C43" s="500"/>
      <c r="D43" s="352"/>
      <c r="AB43" s="352"/>
    </row>
    <row r="44" spans="1:28" s="129" customFormat="1" ht="15.75" hidden="1" thickTop="1" x14ac:dyDescent="0.25">
      <c r="A44"/>
      <c r="B44"/>
      <c r="C44"/>
      <c r="D44"/>
      <c r="E44"/>
      <c r="F44"/>
      <c r="G44"/>
      <c r="H44"/>
      <c r="AB44" s="352"/>
    </row>
    <row r="45" spans="1:28" s="129" customFormat="1" ht="15.75" hidden="1" thickTop="1" x14ac:dyDescent="0.25">
      <c r="A45"/>
      <c r="B45"/>
      <c r="C45"/>
      <c r="D45"/>
      <c r="E45"/>
      <c r="F45"/>
      <c r="G45"/>
      <c r="H45"/>
      <c r="AB45" s="352"/>
    </row>
    <row r="46" spans="1:28" s="129" customFormat="1" ht="15.75" hidden="1" thickTop="1" x14ac:dyDescent="0.25">
      <c r="A46"/>
      <c r="B46"/>
      <c r="C46"/>
      <c r="D46"/>
      <c r="E46"/>
      <c r="F46"/>
      <c r="G46"/>
      <c r="H46"/>
      <c r="AB46" s="352"/>
    </row>
    <row r="47" spans="1:28" s="129" customFormat="1" ht="15.75" hidden="1" thickTop="1" x14ac:dyDescent="0.25">
      <c r="A47"/>
      <c r="B47"/>
      <c r="C47"/>
      <c r="D47"/>
      <c r="E47"/>
      <c r="F47"/>
      <c r="G47"/>
      <c r="H47"/>
      <c r="I47" s="129" t="s">
        <v>536</v>
      </c>
      <c r="J47" s="129" t="s">
        <v>536</v>
      </c>
      <c r="L47" s="402">
        <v>76441.600000000006</v>
      </c>
      <c r="M47" s="402"/>
      <c r="N47" s="402"/>
      <c r="O47" s="402">
        <v>76441.600000000006</v>
      </c>
      <c r="P47" s="402">
        <v>76441.600000000006</v>
      </c>
      <c r="Q47" s="402"/>
      <c r="R47" s="402"/>
      <c r="S47" s="402"/>
      <c r="T47" s="402"/>
      <c r="U47" s="402"/>
      <c r="V47" s="402">
        <v>76441.600000000006</v>
      </c>
      <c r="W47" s="402">
        <v>76441.600000000006</v>
      </c>
      <c r="X47" s="402"/>
      <c r="Y47" s="402"/>
      <c r="Z47" s="402"/>
      <c r="AB47" s="352"/>
    </row>
    <row r="48" spans="1:28" s="129" customFormat="1" ht="15.75" hidden="1" thickTop="1" x14ac:dyDescent="0.25">
      <c r="A48"/>
      <c r="B48"/>
      <c r="C48"/>
      <c r="D48"/>
      <c r="E48"/>
      <c r="F48"/>
      <c r="G48"/>
      <c r="H48"/>
      <c r="I48" s="129" t="s">
        <v>537</v>
      </c>
      <c r="J48" s="129" t="s">
        <v>537</v>
      </c>
      <c r="K48" s="403">
        <v>0.05</v>
      </c>
      <c r="L48" s="402">
        <f>L47*K48</f>
        <v>3822.0800000000004</v>
      </c>
      <c r="M48" s="402"/>
      <c r="N48" s="402"/>
      <c r="O48" s="402">
        <f>O47*L48</f>
        <v>292165910.52800006</v>
      </c>
      <c r="P48" s="402">
        <f>P47*M48</f>
        <v>0</v>
      </c>
      <c r="Q48" s="402"/>
      <c r="R48" s="402"/>
      <c r="S48" s="402"/>
      <c r="T48" s="402"/>
      <c r="U48" s="402"/>
      <c r="V48" s="402">
        <f>V47*L48</f>
        <v>292165910.52800006</v>
      </c>
      <c r="W48" s="402">
        <f>W47*O48</f>
        <v>22333629666217.172</v>
      </c>
      <c r="X48" s="402"/>
      <c r="Y48" s="402"/>
      <c r="Z48" s="402"/>
      <c r="AB48" s="352"/>
    </row>
    <row r="49" spans="1:28" s="129" customFormat="1" ht="15.75" hidden="1" thickTop="1" x14ac:dyDescent="0.25">
      <c r="A49"/>
      <c r="B49"/>
      <c r="C49"/>
      <c r="D49"/>
      <c r="E49"/>
      <c r="F49"/>
      <c r="G49"/>
      <c r="H49"/>
      <c r="I49" s="129" t="s">
        <v>538</v>
      </c>
      <c r="J49" s="129" t="s">
        <v>538</v>
      </c>
      <c r="K49" s="403">
        <v>0.01</v>
      </c>
      <c r="L49" s="402">
        <f>L47*K49</f>
        <v>764.41600000000005</v>
      </c>
      <c r="M49" s="402"/>
      <c r="N49" s="402"/>
      <c r="O49" s="402">
        <f>O47*L49</f>
        <v>58433182.105600007</v>
      </c>
      <c r="P49" s="402">
        <f>P47*M49</f>
        <v>0</v>
      </c>
      <c r="Q49" s="402"/>
      <c r="R49" s="402"/>
      <c r="S49" s="402"/>
      <c r="T49" s="402"/>
      <c r="U49" s="402"/>
      <c r="V49" s="402">
        <f>V47*L49</f>
        <v>58433182.105600007</v>
      </c>
      <c r="W49" s="402">
        <f>W47*O49</f>
        <v>4466725933243.4336</v>
      </c>
      <c r="X49" s="402"/>
      <c r="Y49" s="402"/>
      <c r="Z49" s="402"/>
      <c r="AB49" s="352"/>
    </row>
    <row r="50" spans="1:28" s="129" customFormat="1" ht="15.75" hidden="1" thickTop="1" x14ac:dyDescent="0.25">
      <c r="A50"/>
      <c r="B50"/>
      <c r="C50"/>
      <c r="D50"/>
      <c r="E50"/>
      <c r="F50"/>
      <c r="G50"/>
      <c r="H50"/>
      <c r="I50" s="129" t="s">
        <v>539</v>
      </c>
      <c r="J50" s="129" t="s">
        <v>539</v>
      </c>
      <c r="K50" s="404">
        <v>4.8000000000000001E-2</v>
      </c>
      <c r="L50" s="402">
        <f>L47*K50</f>
        <v>3669.1968000000002</v>
      </c>
      <c r="M50" s="402"/>
      <c r="N50" s="402"/>
      <c r="O50" s="402">
        <f>O47*L50</f>
        <v>280479274.10688001</v>
      </c>
      <c r="P50" s="402">
        <f>P47*M50</f>
        <v>0</v>
      </c>
      <c r="Q50" s="402"/>
      <c r="R50" s="402"/>
      <c r="S50" s="402"/>
      <c r="T50" s="402"/>
      <c r="U50" s="402"/>
      <c r="V50" s="402">
        <f>V47*L50</f>
        <v>280479274.10688001</v>
      </c>
      <c r="W50" s="402">
        <f>W47*O50</f>
        <v>21440284479568.48</v>
      </c>
      <c r="X50" s="402"/>
      <c r="Y50" s="402"/>
      <c r="Z50" s="402"/>
      <c r="AB50" s="352"/>
    </row>
    <row r="51" spans="1:28" s="129" customFormat="1" ht="15.75" hidden="1" thickTop="1" x14ac:dyDescent="0.25">
      <c r="A51"/>
      <c r="B51"/>
      <c r="C51"/>
      <c r="D51"/>
      <c r="E51"/>
      <c r="F51"/>
      <c r="G51"/>
      <c r="H51"/>
      <c r="I51" s="129" t="s">
        <v>540</v>
      </c>
      <c r="J51" s="129" t="s">
        <v>540</v>
      </c>
      <c r="K51" s="404">
        <v>6.4999999999999997E-3</v>
      </c>
      <c r="L51" s="402">
        <f>L47*K51</f>
        <v>496.87040000000002</v>
      </c>
      <c r="M51" s="402"/>
      <c r="N51" s="402"/>
      <c r="O51" s="402">
        <f>O47*L51</f>
        <v>37981568.368640006</v>
      </c>
      <c r="P51" s="402">
        <f>P47*M51</f>
        <v>0</v>
      </c>
      <c r="Q51" s="402"/>
      <c r="R51" s="402"/>
      <c r="S51" s="402"/>
      <c r="T51" s="402"/>
      <c r="U51" s="402"/>
      <c r="V51" s="402">
        <f>V47*L51</f>
        <v>37981568.368640006</v>
      </c>
      <c r="W51" s="402">
        <f>W47*O51</f>
        <v>2903371856608.2319</v>
      </c>
      <c r="X51" s="402"/>
      <c r="Y51" s="402"/>
      <c r="Z51" s="402"/>
      <c r="AB51" s="352"/>
    </row>
    <row r="52" spans="1:28" s="129" customFormat="1" ht="15.75" hidden="1" thickTop="1" x14ac:dyDescent="0.25">
      <c r="A52"/>
      <c r="B52"/>
      <c r="C52"/>
      <c r="D52"/>
      <c r="E52"/>
      <c r="F52"/>
      <c r="G52"/>
      <c r="H52"/>
      <c r="I52" s="129" t="s">
        <v>541</v>
      </c>
      <c r="J52" s="129" t="s">
        <v>541</v>
      </c>
      <c r="K52" s="404">
        <v>0.03</v>
      </c>
      <c r="L52" s="402">
        <f>L47*K52</f>
        <v>2293.248</v>
      </c>
      <c r="M52" s="402"/>
      <c r="N52" s="402"/>
      <c r="O52" s="402">
        <f>O47*L52</f>
        <v>175299546.31680003</v>
      </c>
      <c r="P52" s="402">
        <f>P47*M52</f>
        <v>0</v>
      </c>
      <c r="Q52" s="402"/>
      <c r="R52" s="402"/>
      <c r="S52" s="402"/>
      <c r="T52" s="402"/>
      <c r="U52" s="402"/>
      <c r="V52" s="402">
        <f>V47*L52</f>
        <v>175299546.31680003</v>
      </c>
      <c r="W52" s="402">
        <f>W47*O52</f>
        <v>13400177799730.303</v>
      </c>
      <c r="X52" s="402"/>
      <c r="Y52" s="402"/>
      <c r="Z52" s="402"/>
      <c r="AB52" s="352"/>
    </row>
    <row r="53" spans="1:28" s="129" customFormat="1" ht="15.75" hidden="1" thickTop="1" x14ac:dyDescent="0.25">
      <c r="A53"/>
      <c r="B53"/>
      <c r="C53"/>
      <c r="D53"/>
      <c r="E53"/>
      <c r="F53"/>
      <c r="G53"/>
      <c r="H53"/>
      <c r="L53" s="402">
        <f>SUM(L48:L52)</f>
        <v>11045.8112</v>
      </c>
      <c r="M53" s="402"/>
      <c r="N53" s="402"/>
      <c r="O53" s="402">
        <f>SUM(O48:O52)</f>
        <v>844359481.42592013</v>
      </c>
      <c r="P53" s="402">
        <f>SUM(P48:P52)</f>
        <v>0</v>
      </c>
      <c r="Q53" s="402"/>
      <c r="R53" s="402"/>
      <c r="S53" s="402"/>
      <c r="T53" s="402"/>
      <c r="U53" s="402"/>
      <c r="V53" s="402">
        <f>SUM(V48:V52)</f>
        <v>844359481.42592013</v>
      </c>
      <c r="W53" s="402">
        <f>SUM(W48:W52)</f>
        <v>64544189735367.625</v>
      </c>
      <c r="X53" s="402"/>
      <c r="Y53" s="402"/>
      <c r="Z53" s="402"/>
      <c r="AB53" s="352"/>
    </row>
    <row r="54" spans="1:28" s="129" customFormat="1" ht="15.75" hidden="1" thickTop="1" x14ac:dyDescent="0.25">
      <c r="A54"/>
      <c r="B54"/>
      <c r="C54"/>
      <c r="D54"/>
      <c r="E54"/>
      <c r="F54"/>
      <c r="G54"/>
      <c r="H54"/>
      <c r="I54" s="129" t="s">
        <v>542</v>
      </c>
      <c r="J54" s="129" t="s">
        <v>542</v>
      </c>
      <c r="L54" s="405">
        <f>AA37</f>
        <v>4079.6108056454805</v>
      </c>
      <c r="M54" s="405"/>
      <c r="N54" s="405"/>
      <c r="O54" s="405" t="e">
        <f>#REF!</f>
        <v>#REF!</v>
      </c>
      <c r="P54" s="405" t="e">
        <f>#REF!</f>
        <v>#REF!</v>
      </c>
      <c r="Q54" s="405"/>
      <c r="R54" s="405"/>
      <c r="S54" s="405"/>
      <c r="T54" s="405"/>
      <c r="U54" s="405"/>
      <c r="V54" s="405" t="e">
        <f>#REF!</f>
        <v>#REF!</v>
      </c>
      <c r="W54" s="405">
        <f>AB37</f>
        <v>0</v>
      </c>
      <c r="X54" s="405"/>
      <c r="Y54" s="405"/>
      <c r="Z54" s="405"/>
      <c r="AB54" s="352"/>
    </row>
    <row r="55" spans="1:28" s="129" customFormat="1" ht="15.75" hidden="1" thickTop="1" x14ac:dyDescent="0.25">
      <c r="A55"/>
      <c r="B55"/>
      <c r="C55"/>
      <c r="D55"/>
      <c r="E55"/>
      <c r="F55"/>
      <c r="G55"/>
      <c r="H55"/>
      <c r="I55" s="129" t="s">
        <v>543</v>
      </c>
      <c r="J55" s="129" t="s">
        <v>543</v>
      </c>
      <c r="L55" s="402">
        <f>L47-L53-L54</f>
        <v>61316.177994354526</v>
      </c>
      <c r="M55" s="402"/>
      <c r="N55" s="402"/>
      <c r="O55" s="402" t="e">
        <f>O47-O53-O54</f>
        <v>#REF!</v>
      </c>
      <c r="P55" s="402" t="e">
        <f>P47-P53-P54</f>
        <v>#REF!</v>
      </c>
      <c r="Q55" s="402"/>
      <c r="R55" s="402"/>
      <c r="S55" s="402"/>
      <c r="T55" s="402"/>
      <c r="U55" s="402"/>
      <c r="V55" s="402" t="e">
        <f>V47-V53-V54</f>
        <v>#REF!</v>
      </c>
      <c r="W55" s="402">
        <f>W47-W53-W54</f>
        <v>-64544189658926.023</v>
      </c>
      <c r="X55" s="402"/>
      <c r="Y55" s="402"/>
      <c r="Z55" s="402"/>
      <c r="AB55" s="352"/>
    </row>
    <row r="56" spans="1:28" s="129" customFormat="1" ht="15.75" hidden="1" thickTop="1" x14ac:dyDescent="0.25">
      <c r="A56"/>
      <c r="B56"/>
      <c r="C56"/>
      <c r="D56"/>
      <c r="E56"/>
      <c r="F56"/>
      <c r="G56"/>
      <c r="H56"/>
      <c r="I56" s="129" t="s">
        <v>544</v>
      </c>
      <c r="J56" s="129" t="s">
        <v>544</v>
      </c>
      <c r="L56" s="402">
        <f>L55*1%</f>
        <v>613.1617799435453</v>
      </c>
      <c r="M56" s="402"/>
      <c r="N56" s="402"/>
      <c r="O56" s="402" t="e">
        <f>O55*1%</f>
        <v>#REF!</v>
      </c>
      <c r="P56" s="402" t="e">
        <f>P55*1%</f>
        <v>#REF!</v>
      </c>
      <c r="Q56" s="402"/>
      <c r="R56" s="402"/>
      <c r="S56" s="402"/>
      <c r="T56" s="402"/>
      <c r="U56" s="402"/>
      <c r="V56" s="402" t="e">
        <f>V55*1%</f>
        <v>#REF!</v>
      </c>
      <c r="W56" s="402">
        <f>W55*1%</f>
        <v>-645441896589.26025</v>
      </c>
      <c r="X56" s="402"/>
      <c r="Y56" s="402"/>
      <c r="Z56" s="402"/>
      <c r="AB56" s="352"/>
    </row>
    <row r="57" spans="1:28" s="129" customFormat="1" ht="15.75" hidden="1" thickTop="1" x14ac:dyDescent="0.25">
      <c r="A57"/>
      <c r="B57"/>
      <c r="C57"/>
      <c r="D57"/>
      <c r="E57"/>
      <c r="F57"/>
      <c r="G57"/>
      <c r="H57"/>
      <c r="AB57" s="352"/>
    </row>
    <row r="58" spans="1:28" s="129" customFormat="1" ht="15.75" hidden="1" thickTop="1" x14ac:dyDescent="0.25">
      <c r="A58"/>
      <c r="B58"/>
      <c r="C58"/>
      <c r="D58"/>
      <c r="E58"/>
      <c r="F58"/>
      <c r="G58"/>
      <c r="H58"/>
      <c r="AB58" s="352"/>
    </row>
    <row r="59" spans="1:28" s="129" customFormat="1" ht="15.75" thickTop="1" x14ac:dyDescent="0.25">
      <c r="A59"/>
      <c r="B59"/>
      <c r="C59"/>
      <c r="D59"/>
      <c r="E59"/>
      <c r="F59"/>
      <c r="G59"/>
      <c r="H59"/>
      <c r="AA59" s="405"/>
      <c r="AB59" s="406"/>
    </row>
    <row r="60" spans="1:28" s="129" customFormat="1" x14ac:dyDescent="0.25">
      <c r="A60"/>
      <c r="B60"/>
      <c r="C60"/>
      <c r="D60"/>
      <c r="E60"/>
      <c r="F60"/>
      <c r="G60"/>
      <c r="H60"/>
      <c r="I60"/>
      <c r="J60"/>
      <c r="K60"/>
      <c r="L60"/>
      <c r="M60"/>
      <c r="N60"/>
      <c r="O60"/>
      <c r="P60"/>
      <c r="Q60"/>
      <c r="R60"/>
      <c r="S60"/>
      <c r="T60"/>
      <c r="U60"/>
      <c r="V60"/>
      <c r="W60"/>
      <c r="X60"/>
      <c r="Y60"/>
      <c r="Z60"/>
      <c r="AA60"/>
      <c r="AB60"/>
    </row>
  </sheetData>
  <autoFilter ref="B5:AA38" xr:uid="{00000000-0009-0000-0000-000001000000}">
    <filterColumn colId="0" showButton="0"/>
  </autoFilter>
  <mergeCells count="40">
    <mergeCell ref="A38:C38"/>
    <mergeCell ref="A39:M39"/>
    <mergeCell ref="A40:C40"/>
    <mergeCell ref="A41:C41"/>
    <mergeCell ref="A43:C43"/>
    <mergeCell ref="B25:C25"/>
    <mergeCell ref="B17:C17"/>
    <mergeCell ref="B18:C18"/>
    <mergeCell ref="B19:C19"/>
    <mergeCell ref="B11:C11"/>
    <mergeCell ref="B12:C12"/>
    <mergeCell ref="B20:C20"/>
    <mergeCell ref="B21:C21"/>
    <mergeCell ref="B22:C22"/>
    <mergeCell ref="B23:C23"/>
    <mergeCell ref="B24:C24"/>
    <mergeCell ref="B13:C13"/>
    <mergeCell ref="B14:C14"/>
    <mergeCell ref="B15:C15"/>
    <mergeCell ref="B16:C16"/>
    <mergeCell ref="B35:C35"/>
    <mergeCell ref="B36:C36"/>
    <mergeCell ref="A37:C37"/>
    <mergeCell ref="B26:C26"/>
    <mergeCell ref="B27:C27"/>
    <mergeCell ref="B28:C28"/>
    <mergeCell ref="B29:C29"/>
    <mergeCell ref="B30:C30"/>
    <mergeCell ref="B31:C31"/>
    <mergeCell ref="B32:C32"/>
    <mergeCell ref="B33:C33"/>
    <mergeCell ref="B34:C34"/>
    <mergeCell ref="B10:C10"/>
    <mergeCell ref="B8:C8"/>
    <mergeCell ref="B9:C9"/>
    <mergeCell ref="A1:AA2"/>
    <mergeCell ref="A3:AB4"/>
    <mergeCell ref="B5:C5"/>
    <mergeCell ref="B6:C6"/>
    <mergeCell ref="B7:C7"/>
  </mergeCells>
  <printOptions horizontalCentered="1" verticalCentered="1"/>
  <pageMargins left="0.23622047244094491" right="0.11811023622047245" top="0.23622047244094491" bottom="0.15748031496062992" header="0.23622047244094491" footer="0.15748031496062992"/>
  <pageSetup paperSize="9" scale="4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61"/>
  <sheetViews>
    <sheetView showGridLines="0" topLeftCell="A45" zoomScale="106" zoomScaleNormal="106" zoomScaleSheetLayoutView="80" workbookViewId="0">
      <selection activeCell="J34" sqref="J34"/>
    </sheetView>
  </sheetViews>
  <sheetFormatPr defaultRowHeight="15" x14ac:dyDescent="0.2"/>
  <cols>
    <col min="1" max="1" width="6.42578125" style="24" customWidth="1"/>
    <col min="2" max="2" width="0.28515625" style="24" customWidth="1"/>
    <col min="3" max="3" width="27.7109375" style="24" customWidth="1"/>
    <col min="4" max="4" width="12.5703125" style="24" customWidth="1"/>
    <col min="5" max="5" width="12.42578125" style="24" customWidth="1"/>
    <col min="6" max="6" width="10.7109375" style="24" customWidth="1"/>
    <col min="7" max="7" width="13.85546875" style="24" customWidth="1"/>
    <col min="8" max="8" width="15.28515625" style="24" customWidth="1"/>
    <col min="9" max="9" width="23.28515625" style="24" customWidth="1"/>
    <col min="10" max="10" width="16.42578125" style="24" customWidth="1"/>
    <col min="11" max="11" width="16.42578125" style="24" hidden="1" customWidth="1"/>
    <col min="12" max="12" width="14.7109375" style="24" hidden="1" customWidth="1"/>
    <col min="13" max="13" width="15.42578125" style="24" customWidth="1"/>
    <col min="14" max="247" width="9.140625" style="24"/>
    <col min="248" max="248" width="3.28515625" style="24" customWidth="1"/>
    <col min="249" max="249" width="29" style="24" customWidth="1"/>
    <col min="250" max="250" width="14" style="24" customWidth="1"/>
    <col min="251" max="251" width="11.28515625" style="24" customWidth="1"/>
    <col min="252" max="252" width="16.7109375" style="24" customWidth="1"/>
    <col min="253" max="253" width="8.85546875" style="24" customWidth="1"/>
    <col min="254" max="254" width="29" style="24" customWidth="1"/>
    <col min="255" max="503" width="9.140625" style="24"/>
    <col min="504" max="504" width="3.28515625" style="24" customWidth="1"/>
    <col min="505" max="505" width="29" style="24" customWidth="1"/>
    <col min="506" max="506" width="14" style="24" customWidth="1"/>
    <col min="507" max="507" width="11.28515625" style="24" customWidth="1"/>
    <col min="508" max="508" width="16.7109375" style="24" customWidth="1"/>
    <col min="509" max="509" width="8.85546875" style="24" customWidth="1"/>
    <col min="510" max="510" width="29" style="24" customWidth="1"/>
    <col min="511" max="759" width="9.140625" style="24"/>
    <col min="760" max="760" width="3.28515625" style="24" customWidth="1"/>
    <col min="761" max="761" width="29" style="24" customWidth="1"/>
    <col min="762" max="762" width="14" style="24" customWidth="1"/>
    <col min="763" max="763" width="11.28515625" style="24" customWidth="1"/>
    <col min="764" max="764" width="16.7109375" style="24" customWidth="1"/>
    <col min="765" max="765" width="8.85546875" style="24" customWidth="1"/>
    <col min="766" max="766" width="29" style="24" customWidth="1"/>
    <col min="767" max="1015" width="9.140625" style="24"/>
    <col min="1016" max="1016" width="3.28515625" style="24" customWidth="1"/>
    <col min="1017" max="1017" width="29" style="24" customWidth="1"/>
    <col min="1018" max="1018" width="14" style="24" customWidth="1"/>
    <col min="1019" max="1019" width="11.28515625" style="24" customWidth="1"/>
    <col min="1020" max="1020" width="16.7109375" style="24" customWidth="1"/>
    <col min="1021" max="1021" width="8.85546875" style="24" customWidth="1"/>
    <col min="1022" max="1022" width="29" style="24" customWidth="1"/>
    <col min="1023" max="1271" width="9.140625" style="24"/>
    <col min="1272" max="1272" width="3.28515625" style="24" customWidth="1"/>
    <col min="1273" max="1273" width="29" style="24" customWidth="1"/>
    <col min="1274" max="1274" width="14" style="24" customWidth="1"/>
    <col min="1275" max="1275" width="11.28515625" style="24" customWidth="1"/>
    <col min="1276" max="1276" width="16.7109375" style="24" customWidth="1"/>
    <col min="1277" max="1277" width="8.85546875" style="24" customWidth="1"/>
    <col min="1278" max="1278" width="29" style="24" customWidth="1"/>
    <col min="1279" max="1527" width="9.140625" style="24"/>
    <col min="1528" max="1528" width="3.28515625" style="24" customWidth="1"/>
    <col min="1529" max="1529" width="29" style="24" customWidth="1"/>
    <col min="1530" max="1530" width="14" style="24" customWidth="1"/>
    <col min="1531" max="1531" width="11.28515625" style="24" customWidth="1"/>
    <col min="1532" max="1532" width="16.7109375" style="24" customWidth="1"/>
    <col min="1533" max="1533" width="8.85546875" style="24" customWidth="1"/>
    <col min="1534" max="1534" width="29" style="24" customWidth="1"/>
    <col min="1535" max="1783" width="9.140625" style="24"/>
    <col min="1784" max="1784" width="3.28515625" style="24" customWidth="1"/>
    <col min="1785" max="1785" width="29" style="24" customWidth="1"/>
    <col min="1786" max="1786" width="14" style="24" customWidth="1"/>
    <col min="1787" max="1787" width="11.28515625" style="24" customWidth="1"/>
    <col min="1788" max="1788" width="16.7109375" style="24" customWidth="1"/>
    <col min="1789" max="1789" width="8.85546875" style="24" customWidth="1"/>
    <col min="1790" max="1790" width="29" style="24" customWidth="1"/>
    <col min="1791" max="2039" width="9.140625" style="24"/>
    <col min="2040" max="2040" width="3.28515625" style="24" customWidth="1"/>
    <col min="2041" max="2041" width="29" style="24" customWidth="1"/>
    <col min="2042" max="2042" width="14" style="24" customWidth="1"/>
    <col min="2043" max="2043" width="11.28515625" style="24" customWidth="1"/>
    <col min="2044" max="2044" width="16.7109375" style="24" customWidth="1"/>
    <col min="2045" max="2045" width="8.85546875" style="24" customWidth="1"/>
    <col min="2046" max="2046" width="29" style="24" customWidth="1"/>
    <col min="2047" max="2295" width="9.140625" style="24"/>
    <col min="2296" max="2296" width="3.28515625" style="24" customWidth="1"/>
    <col min="2297" max="2297" width="29" style="24" customWidth="1"/>
    <col min="2298" max="2298" width="14" style="24" customWidth="1"/>
    <col min="2299" max="2299" width="11.28515625" style="24" customWidth="1"/>
    <col min="2300" max="2300" width="16.7109375" style="24" customWidth="1"/>
    <col min="2301" max="2301" width="8.85546875" style="24" customWidth="1"/>
    <col min="2302" max="2302" width="29" style="24" customWidth="1"/>
    <col min="2303" max="2551" width="9.140625" style="24"/>
    <col min="2552" max="2552" width="3.28515625" style="24" customWidth="1"/>
    <col min="2553" max="2553" width="29" style="24" customWidth="1"/>
    <col min="2554" max="2554" width="14" style="24" customWidth="1"/>
    <col min="2555" max="2555" width="11.28515625" style="24" customWidth="1"/>
    <col min="2556" max="2556" width="16.7109375" style="24" customWidth="1"/>
    <col min="2557" max="2557" width="8.85546875" style="24" customWidth="1"/>
    <col min="2558" max="2558" width="29" style="24" customWidth="1"/>
    <col min="2559" max="2807" width="9.140625" style="24"/>
    <col min="2808" max="2808" width="3.28515625" style="24" customWidth="1"/>
    <col min="2809" max="2809" width="29" style="24" customWidth="1"/>
    <col min="2810" max="2810" width="14" style="24" customWidth="1"/>
    <col min="2811" max="2811" width="11.28515625" style="24" customWidth="1"/>
    <col min="2812" max="2812" width="16.7109375" style="24" customWidth="1"/>
    <col min="2813" max="2813" width="8.85546875" style="24" customWidth="1"/>
    <col min="2814" max="2814" width="29" style="24" customWidth="1"/>
    <col min="2815" max="3063" width="9.140625" style="24"/>
    <col min="3064" max="3064" width="3.28515625" style="24" customWidth="1"/>
    <col min="3065" max="3065" width="29" style="24" customWidth="1"/>
    <col min="3066" max="3066" width="14" style="24" customWidth="1"/>
    <col min="3067" max="3067" width="11.28515625" style="24" customWidth="1"/>
    <col min="3068" max="3068" width="16.7109375" style="24" customWidth="1"/>
    <col min="3069" max="3069" width="8.85546875" style="24" customWidth="1"/>
    <col min="3070" max="3070" width="29" style="24" customWidth="1"/>
    <col min="3071" max="3319" width="9.140625" style="24"/>
    <col min="3320" max="3320" width="3.28515625" style="24" customWidth="1"/>
    <col min="3321" max="3321" width="29" style="24" customWidth="1"/>
    <col min="3322" max="3322" width="14" style="24" customWidth="1"/>
    <col min="3323" max="3323" width="11.28515625" style="24" customWidth="1"/>
    <col min="3324" max="3324" width="16.7109375" style="24" customWidth="1"/>
    <col min="3325" max="3325" width="8.85546875" style="24" customWidth="1"/>
    <col min="3326" max="3326" width="29" style="24" customWidth="1"/>
    <col min="3327" max="3575" width="9.140625" style="24"/>
    <col min="3576" max="3576" width="3.28515625" style="24" customWidth="1"/>
    <col min="3577" max="3577" width="29" style="24" customWidth="1"/>
    <col min="3578" max="3578" width="14" style="24" customWidth="1"/>
    <col min="3579" max="3579" width="11.28515625" style="24" customWidth="1"/>
    <col min="3580" max="3580" width="16.7109375" style="24" customWidth="1"/>
    <col min="3581" max="3581" width="8.85546875" style="24" customWidth="1"/>
    <col min="3582" max="3582" width="29" style="24" customWidth="1"/>
    <col min="3583" max="3831" width="9.140625" style="24"/>
    <col min="3832" max="3832" width="3.28515625" style="24" customWidth="1"/>
    <col min="3833" max="3833" width="29" style="24" customWidth="1"/>
    <col min="3834" max="3834" width="14" style="24" customWidth="1"/>
    <col min="3835" max="3835" width="11.28515625" style="24" customWidth="1"/>
    <col min="3836" max="3836" width="16.7109375" style="24" customWidth="1"/>
    <col min="3837" max="3837" width="8.85546875" style="24" customWidth="1"/>
    <col min="3838" max="3838" width="29" style="24" customWidth="1"/>
    <col min="3839" max="4087" width="9.140625" style="24"/>
    <col min="4088" max="4088" width="3.28515625" style="24" customWidth="1"/>
    <col min="4089" max="4089" width="29" style="24" customWidth="1"/>
    <col min="4090" max="4090" width="14" style="24" customWidth="1"/>
    <col min="4091" max="4091" width="11.28515625" style="24" customWidth="1"/>
    <col min="4092" max="4092" width="16.7109375" style="24" customWidth="1"/>
    <col min="4093" max="4093" width="8.85546875" style="24" customWidth="1"/>
    <col min="4094" max="4094" width="29" style="24" customWidth="1"/>
    <col min="4095" max="4343" width="9.140625" style="24"/>
    <col min="4344" max="4344" width="3.28515625" style="24" customWidth="1"/>
    <col min="4345" max="4345" width="29" style="24" customWidth="1"/>
    <col min="4346" max="4346" width="14" style="24" customWidth="1"/>
    <col min="4347" max="4347" width="11.28515625" style="24" customWidth="1"/>
    <col min="4348" max="4348" width="16.7109375" style="24" customWidth="1"/>
    <col min="4349" max="4349" width="8.85546875" style="24" customWidth="1"/>
    <col min="4350" max="4350" width="29" style="24" customWidth="1"/>
    <col min="4351" max="4599" width="9.140625" style="24"/>
    <col min="4600" max="4600" width="3.28515625" style="24" customWidth="1"/>
    <col min="4601" max="4601" width="29" style="24" customWidth="1"/>
    <col min="4602" max="4602" width="14" style="24" customWidth="1"/>
    <col min="4603" max="4603" width="11.28515625" style="24" customWidth="1"/>
    <col min="4604" max="4604" width="16.7109375" style="24" customWidth="1"/>
    <col min="4605" max="4605" width="8.85546875" style="24" customWidth="1"/>
    <col min="4606" max="4606" width="29" style="24" customWidth="1"/>
    <col min="4607" max="4855" width="9.140625" style="24"/>
    <col min="4856" max="4856" width="3.28515625" style="24" customWidth="1"/>
    <col min="4857" max="4857" width="29" style="24" customWidth="1"/>
    <col min="4858" max="4858" width="14" style="24" customWidth="1"/>
    <col min="4859" max="4859" width="11.28515625" style="24" customWidth="1"/>
    <col min="4860" max="4860" width="16.7109375" style="24" customWidth="1"/>
    <col min="4861" max="4861" width="8.85546875" style="24" customWidth="1"/>
    <col min="4862" max="4862" width="29" style="24" customWidth="1"/>
    <col min="4863" max="5111" width="9.140625" style="24"/>
    <col min="5112" max="5112" width="3.28515625" style="24" customWidth="1"/>
    <col min="5113" max="5113" width="29" style="24" customWidth="1"/>
    <col min="5114" max="5114" width="14" style="24" customWidth="1"/>
    <col min="5115" max="5115" width="11.28515625" style="24" customWidth="1"/>
    <col min="5116" max="5116" width="16.7109375" style="24" customWidth="1"/>
    <col min="5117" max="5117" width="8.85546875" style="24" customWidth="1"/>
    <col min="5118" max="5118" width="29" style="24" customWidth="1"/>
    <col min="5119" max="5367" width="9.140625" style="24"/>
    <col min="5368" max="5368" width="3.28515625" style="24" customWidth="1"/>
    <col min="5369" max="5369" width="29" style="24" customWidth="1"/>
    <col min="5370" max="5370" width="14" style="24" customWidth="1"/>
    <col min="5371" max="5371" width="11.28515625" style="24" customWidth="1"/>
    <col min="5372" max="5372" width="16.7109375" style="24" customWidth="1"/>
    <col min="5373" max="5373" width="8.85546875" style="24" customWidth="1"/>
    <col min="5374" max="5374" width="29" style="24" customWidth="1"/>
    <col min="5375" max="5623" width="9.140625" style="24"/>
    <col min="5624" max="5624" width="3.28515625" style="24" customWidth="1"/>
    <col min="5625" max="5625" width="29" style="24" customWidth="1"/>
    <col min="5626" max="5626" width="14" style="24" customWidth="1"/>
    <col min="5627" max="5627" width="11.28515625" style="24" customWidth="1"/>
    <col min="5628" max="5628" width="16.7109375" style="24" customWidth="1"/>
    <col min="5629" max="5629" width="8.85546875" style="24" customWidth="1"/>
    <col min="5630" max="5630" width="29" style="24" customWidth="1"/>
    <col min="5631" max="5879" width="9.140625" style="24"/>
    <col min="5880" max="5880" width="3.28515625" style="24" customWidth="1"/>
    <col min="5881" max="5881" width="29" style="24" customWidth="1"/>
    <col min="5882" max="5882" width="14" style="24" customWidth="1"/>
    <col min="5883" max="5883" width="11.28515625" style="24" customWidth="1"/>
    <col min="5884" max="5884" width="16.7109375" style="24" customWidth="1"/>
    <col min="5885" max="5885" width="8.85546875" style="24" customWidth="1"/>
    <col min="5886" max="5886" width="29" style="24" customWidth="1"/>
    <col min="5887" max="6135" width="9.140625" style="24"/>
    <col min="6136" max="6136" width="3.28515625" style="24" customWidth="1"/>
    <col min="6137" max="6137" width="29" style="24" customWidth="1"/>
    <col min="6138" max="6138" width="14" style="24" customWidth="1"/>
    <col min="6139" max="6139" width="11.28515625" style="24" customWidth="1"/>
    <col min="6140" max="6140" width="16.7109375" style="24" customWidth="1"/>
    <col min="6141" max="6141" width="8.85546875" style="24" customWidth="1"/>
    <col min="6142" max="6142" width="29" style="24" customWidth="1"/>
    <col min="6143" max="6391" width="9.140625" style="24"/>
    <col min="6392" max="6392" width="3.28515625" style="24" customWidth="1"/>
    <col min="6393" max="6393" width="29" style="24" customWidth="1"/>
    <col min="6394" max="6394" width="14" style="24" customWidth="1"/>
    <col min="6395" max="6395" width="11.28515625" style="24" customWidth="1"/>
    <col min="6396" max="6396" width="16.7109375" style="24" customWidth="1"/>
    <col min="6397" max="6397" width="8.85546875" style="24" customWidth="1"/>
    <col min="6398" max="6398" width="29" style="24" customWidth="1"/>
    <col min="6399" max="6647" width="9.140625" style="24"/>
    <col min="6648" max="6648" width="3.28515625" style="24" customWidth="1"/>
    <col min="6649" max="6649" width="29" style="24" customWidth="1"/>
    <col min="6650" max="6650" width="14" style="24" customWidth="1"/>
    <col min="6651" max="6651" width="11.28515625" style="24" customWidth="1"/>
    <col min="6652" max="6652" width="16.7109375" style="24" customWidth="1"/>
    <col min="6653" max="6653" width="8.85546875" style="24" customWidth="1"/>
    <col min="6654" max="6654" width="29" style="24" customWidth="1"/>
    <col min="6655" max="6903" width="9.140625" style="24"/>
    <col min="6904" max="6904" width="3.28515625" style="24" customWidth="1"/>
    <col min="6905" max="6905" width="29" style="24" customWidth="1"/>
    <col min="6906" max="6906" width="14" style="24" customWidth="1"/>
    <col min="6907" max="6907" width="11.28515625" style="24" customWidth="1"/>
    <col min="6908" max="6908" width="16.7109375" style="24" customWidth="1"/>
    <col min="6909" max="6909" width="8.85546875" style="24" customWidth="1"/>
    <col min="6910" max="6910" width="29" style="24" customWidth="1"/>
    <col min="6911" max="7159" width="9.140625" style="24"/>
    <col min="7160" max="7160" width="3.28515625" style="24" customWidth="1"/>
    <col min="7161" max="7161" width="29" style="24" customWidth="1"/>
    <col min="7162" max="7162" width="14" style="24" customWidth="1"/>
    <col min="7163" max="7163" width="11.28515625" style="24" customWidth="1"/>
    <col min="7164" max="7164" width="16.7109375" style="24" customWidth="1"/>
    <col min="7165" max="7165" width="8.85546875" style="24" customWidth="1"/>
    <col min="7166" max="7166" width="29" style="24" customWidth="1"/>
    <col min="7167" max="7415" width="9.140625" style="24"/>
    <col min="7416" max="7416" width="3.28515625" style="24" customWidth="1"/>
    <col min="7417" max="7417" width="29" style="24" customWidth="1"/>
    <col min="7418" max="7418" width="14" style="24" customWidth="1"/>
    <col min="7419" max="7419" width="11.28515625" style="24" customWidth="1"/>
    <col min="7420" max="7420" width="16.7109375" style="24" customWidth="1"/>
    <col min="7421" max="7421" width="8.85546875" style="24" customWidth="1"/>
    <col min="7422" max="7422" width="29" style="24" customWidth="1"/>
    <col min="7423" max="7671" width="9.140625" style="24"/>
    <col min="7672" max="7672" width="3.28515625" style="24" customWidth="1"/>
    <col min="7673" max="7673" width="29" style="24" customWidth="1"/>
    <col min="7674" max="7674" width="14" style="24" customWidth="1"/>
    <col min="7675" max="7675" width="11.28515625" style="24" customWidth="1"/>
    <col min="7676" max="7676" width="16.7109375" style="24" customWidth="1"/>
    <col min="7677" max="7677" width="8.85546875" style="24" customWidth="1"/>
    <col min="7678" max="7678" width="29" style="24" customWidth="1"/>
    <col min="7679" max="7927" width="9.140625" style="24"/>
    <col min="7928" max="7928" width="3.28515625" style="24" customWidth="1"/>
    <col min="7929" max="7929" width="29" style="24" customWidth="1"/>
    <col min="7930" max="7930" width="14" style="24" customWidth="1"/>
    <col min="7931" max="7931" width="11.28515625" style="24" customWidth="1"/>
    <col min="7932" max="7932" width="16.7109375" style="24" customWidth="1"/>
    <col min="7933" max="7933" width="8.85546875" style="24" customWidth="1"/>
    <col min="7934" max="7934" width="29" style="24" customWidth="1"/>
    <col min="7935" max="8183" width="9.140625" style="24"/>
    <col min="8184" max="8184" width="3.28515625" style="24" customWidth="1"/>
    <col min="8185" max="8185" width="29" style="24" customWidth="1"/>
    <col min="8186" max="8186" width="14" style="24" customWidth="1"/>
    <col min="8187" max="8187" width="11.28515625" style="24" customWidth="1"/>
    <col min="8188" max="8188" width="16.7109375" style="24" customWidth="1"/>
    <col min="8189" max="8189" width="8.85546875" style="24" customWidth="1"/>
    <col min="8190" max="8190" width="29" style="24" customWidth="1"/>
    <col min="8191" max="8439" width="9.140625" style="24"/>
    <col min="8440" max="8440" width="3.28515625" style="24" customWidth="1"/>
    <col min="8441" max="8441" width="29" style="24" customWidth="1"/>
    <col min="8442" max="8442" width="14" style="24" customWidth="1"/>
    <col min="8443" max="8443" width="11.28515625" style="24" customWidth="1"/>
    <col min="8444" max="8444" width="16.7109375" style="24" customWidth="1"/>
    <col min="8445" max="8445" width="8.85546875" style="24" customWidth="1"/>
    <col min="8446" max="8446" width="29" style="24" customWidth="1"/>
    <col min="8447" max="8695" width="9.140625" style="24"/>
    <col min="8696" max="8696" width="3.28515625" style="24" customWidth="1"/>
    <col min="8697" max="8697" width="29" style="24" customWidth="1"/>
    <col min="8698" max="8698" width="14" style="24" customWidth="1"/>
    <col min="8699" max="8699" width="11.28515625" style="24" customWidth="1"/>
    <col min="8700" max="8700" width="16.7109375" style="24" customWidth="1"/>
    <col min="8701" max="8701" width="8.85546875" style="24" customWidth="1"/>
    <col min="8702" max="8702" width="29" style="24" customWidth="1"/>
    <col min="8703" max="8951" width="9.140625" style="24"/>
    <col min="8952" max="8952" width="3.28515625" style="24" customWidth="1"/>
    <col min="8953" max="8953" width="29" style="24" customWidth="1"/>
    <col min="8954" max="8954" width="14" style="24" customWidth="1"/>
    <col min="8955" max="8955" width="11.28515625" style="24" customWidth="1"/>
    <col min="8956" max="8956" width="16.7109375" style="24" customWidth="1"/>
    <col min="8957" max="8957" width="8.85546875" style="24" customWidth="1"/>
    <col min="8958" max="8958" width="29" style="24" customWidth="1"/>
    <col min="8959" max="9207" width="9.140625" style="24"/>
    <col min="9208" max="9208" width="3.28515625" style="24" customWidth="1"/>
    <col min="9209" max="9209" width="29" style="24" customWidth="1"/>
    <col min="9210" max="9210" width="14" style="24" customWidth="1"/>
    <col min="9211" max="9211" width="11.28515625" style="24" customWidth="1"/>
    <col min="9212" max="9212" width="16.7109375" style="24" customWidth="1"/>
    <col min="9213" max="9213" width="8.85546875" style="24" customWidth="1"/>
    <col min="9214" max="9214" width="29" style="24" customWidth="1"/>
    <col min="9215" max="9463" width="9.140625" style="24"/>
    <col min="9464" max="9464" width="3.28515625" style="24" customWidth="1"/>
    <col min="9465" max="9465" width="29" style="24" customWidth="1"/>
    <col min="9466" max="9466" width="14" style="24" customWidth="1"/>
    <col min="9467" max="9467" width="11.28515625" style="24" customWidth="1"/>
    <col min="9468" max="9468" width="16.7109375" style="24" customWidth="1"/>
    <col min="9469" max="9469" width="8.85546875" style="24" customWidth="1"/>
    <col min="9470" max="9470" width="29" style="24" customWidth="1"/>
    <col min="9471" max="9719" width="9.140625" style="24"/>
    <col min="9720" max="9720" width="3.28515625" style="24" customWidth="1"/>
    <col min="9721" max="9721" width="29" style="24" customWidth="1"/>
    <col min="9722" max="9722" width="14" style="24" customWidth="1"/>
    <col min="9723" max="9723" width="11.28515625" style="24" customWidth="1"/>
    <col min="9724" max="9724" width="16.7109375" style="24" customWidth="1"/>
    <col min="9725" max="9725" width="8.85546875" style="24" customWidth="1"/>
    <col min="9726" max="9726" width="29" style="24" customWidth="1"/>
    <col min="9727" max="9975" width="9.140625" style="24"/>
    <col min="9976" max="9976" width="3.28515625" style="24" customWidth="1"/>
    <col min="9977" max="9977" width="29" style="24" customWidth="1"/>
    <col min="9978" max="9978" width="14" style="24" customWidth="1"/>
    <col min="9979" max="9979" width="11.28515625" style="24" customWidth="1"/>
    <col min="9980" max="9980" width="16.7109375" style="24" customWidth="1"/>
    <col min="9981" max="9981" width="8.85546875" style="24" customWidth="1"/>
    <col min="9982" max="9982" width="29" style="24" customWidth="1"/>
    <col min="9983" max="10231" width="9.140625" style="24"/>
    <col min="10232" max="10232" width="3.28515625" style="24" customWidth="1"/>
    <col min="10233" max="10233" width="29" style="24" customWidth="1"/>
    <col min="10234" max="10234" width="14" style="24" customWidth="1"/>
    <col min="10235" max="10235" width="11.28515625" style="24" customWidth="1"/>
    <col min="10236" max="10236" width="16.7109375" style="24" customWidth="1"/>
    <col min="10237" max="10237" width="8.85546875" style="24" customWidth="1"/>
    <col min="10238" max="10238" width="29" style="24" customWidth="1"/>
    <col min="10239" max="10487" width="9.140625" style="24"/>
    <col min="10488" max="10488" width="3.28515625" style="24" customWidth="1"/>
    <col min="10489" max="10489" width="29" style="24" customWidth="1"/>
    <col min="10490" max="10490" width="14" style="24" customWidth="1"/>
    <col min="10491" max="10491" width="11.28515625" style="24" customWidth="1"/>
    <col min="10492" max="10492" width="16.7109375" style="24" customWidth="1"/>
    <col min="10493" max="10493" width="8.85546875" style="24" customWidth="1"/>
    <col min="10494" max="10494" width="29" style="24" customWidth="1"/>
    <col min="10495" max="10743" width="9.140625" style="24"/>
    <col min="10744" max="10744" width="3.28515625" style="24" customWidth="1"/>
    <col min="10745" max="10745" width="29" style="24" customWidth="1"/>
    <col min="10746" max="10746" width="14" style="24" customWidth="1"/>
    <col min="10747" max="10747" width="11.28515625" style="24" customWidth="1"/>
    <col min="10748" max="10748" width="16.7109375" style="24" customWidth="1"/>
    <col min="10749" max="10749" width="8.85546875" style="24" customWidth="1"/>
    <col min="10750" max="10750" width="29" style="24" customWidth="1"/>
    <col min="10751" max="10999" width="9.140625" style="24"/>
    <col min="11000" max="11000" width="3.28515625" style="24" customWidth="1"/>
    <col min="11001" max="11001" width="29" style="24" customWidth="1"/>
    <col min="11002" max="11002" width="14" style="24" customWidth="1"/>
    <col min="11003" max="11003" width="11.28515625" style="24" customWidth="1"/>
    <col min="11004" max="11004" width="16.7109375" style="24" customWidth="1"/>
    <col min="11005" max="11005" width="8.85546875" style="24" customWidth="1"/>
    <col min="11006" max="11006" width="29" style="24" customWidth="1"/>
    <col min="11007" max="11255" width="9.140625" style="24"/>
    <col min="11256" max="11256" width="3.28515625" style="24" customWidth="1"/>
    <col min="11257" max="11257" width="29" style="24" customWidth="1"/>
    <col min="11258" max="11258" width="14" style="24" customWidth="1"/>
    <col min="11259" max="11259" width="11.28515625" style="24" customWidth="1"/>
    <col min="11260" max="11260" width="16.7109375" style="24" customWidth="1"/>
    <col min="11261" max="11261" width="8.85546875" style="24" customWidth="1"/>
    <col min="11262" max="11262" width="29" style="24" customWidth="1"/>
    <col min="11263" max="11511" width="9.140625" style="24"/>
    <col min="11512" max="11512" width="3.28515625" style="24" customWidth="1"/>
    <col min="11513" max="11513" width="29" style="24" customWidth="1"/>
    <col min="11514" max="11514" width="14" style="24" customWidth="1"/>
    <col min="11515" max="11515" width="11.28515625" style="24" customWidth="1"/>
    <col min="11516" max="11516" width="16.7109375" style="24" customWidth="1"/>
    <col min="11517" max="11517" width="8.85546875" style="24" customWidth="1"/>
    <col min="11518" max="11518" width="29" style="24" customWidth="1"/>
    <col min="11519" max="11767" width="9.140625" style="24"/>
    <col min="11768" max="11768" width="3.28515625" style="24" customWidth="1"/>
    <col min="11769" max="11769" width="29" style="24" customWidth="1"/>
    <col min="11770" max="11770" width="14" style="24" customWidth="1"/>
    <col min="11771" max="11771" width="11.28515625" style="24" customWidth="1"/>
    <col min="11772" max="11772" width="16.7109375" style="24" customWidth="1"/>
    <col min="11773" max="11773" width="8.85546875" style="24" customWidth="1"/>
    <col min="11774" max="11774" width="29" style="24" customWidth="1"/>
    <col min="11775" max="12023" width="9.140625" style="24"/>
    <col min="12024" max="12024" width="3.28515625" style="24" customWidth="1"/>
    <col min="12025" max="12025" width="29" style="24" customWidth="1"/>
    <col min="12026" max="12026" width="14" style="24" customWidth="1"/>
    <col min="12027" max="12027" width="11.28515625" style="24" customWidth="1"/>
    <col min="12028" max="12028" width="16.7109375" style="24" customWidth="1"/>
    <col min="12029" max="12029" width="8.85546875" style="24" customWidth="1"/>
    <col min="12030" max="12030" width="29" style="24" customWidth="1"/>
    <col min="12031" max="12279" width="9.140625" style="24"/>
    <col min="12280" max="12280" width="3.28515625" style="24" customWidth="1"/>
    <col min="12281" max="12281" width="29" style="24" customWidth="1"/>
    <col min="12282" max="12282" width="14" style="24" customWidth="1"/>
    <col min="12283" max="12283" width="11.28515625" style="24" customWidth="1"/>
    <col min="12284" max="12284" width="16.7109375" style="24" customWidth="1"/>
    <col min="12285" max="12285" width="8.85546875" style="24" customWidth="1"/>
    <col min="12286" max="12286" width="29" style="24" customWidth="1"/>
    <col min="12287" max="12535" width="9.140625" style="24"/>
    <col min="12536" max="12536" width="3.28515625" style="24" customWidth="1"/>
    <col min="12537" max="12537" width="29" style="24" customWidth="1"/>
    <col min="12538" max="12538" width="14" style="24" customWidth="1"/>
    <col min="12539" max="12539" width="11.28515625" style="24" customWidth="1"/>
    <col min="12540" max="12540" width="16.7109375" style="24" customWidth="1"/>
    <col min="12541" max="12541" width="8.85546875" style="24" customWidth="1"/>
    <col min="12542" max="12542" width="29" style="24" customWidth="1"/>
    <col min="12543" max="12791" width="9.140625" style="24"/>
    <col min="12792" max="12792" width="3.28515625" style="24" customWidth="1"/>
    <col min="12793" max="12793" width="29" style="24" customWidth="1"/>
    <col min="12794" max="12794" width="14" style="24" customWidth="1"/>
    <col min="12795" max="12795" width="11.28515625" style="24" customWidth="1"/>
    <col min="12796" max="12796" width="16.7109375" style="24" customWidth="1"/>
    <col min="12797" max="12797" width="8.85546875" style="24" customWidth="1"/>
    <col min="12798" max="12798" width="29" style="24" customWidth="1"/>
    <col min="12799" max="13047" width="9.140625" style="24"/>
    <col min="13048" max="13048" width="3.28515625" style="24" customWidth="1"/>
    <col min="13049" max="13049" width="29" style="24" customWidth="1"/>
    <col min="13050" max="13050" width="14" style="24" customWidth="1"/>
    <col min="13051" max="13051" width="11.28515625" style="24" customWidth="1"/>
    <col min="13052" max="13052" width="16.7109375" style="24" customWidth="1"/>
    <col min="13053" max="13053" width="8.85546875" style="24" customWidth="1"/>
    <col min="13054" max="13054" width="29" style="24" customWidth="1"/>
    <col min="13055" max="13303" width="9.140625" style="24"/>
    <col min="13304" max="13304" width="3.28515625" style="24" customWidth="1"/>
    <col min="13305" max="13305" width="29" style="24" customWidth="1"/>
    <col min="13306" max="13306" width="14" style="24" customWidth="1"/>
    <col min="13307" max="13307" width="11.28515625" style="24" customWidth="1"/>
    <col min="13308" max="13308" width="16.7109375" style="24" customWidth="1"/>
    <col min="13309" max="13309" width="8.85546875" style="24" customWidth="1"/>
    <col min="13310" max="13310" width="29" style="24" customWidth="1"/>
    <col min="13311" max="13559" width="9.140625" style="24"/>
    <col min="13560" max="13560" width="3.28515625" style="24" customWidth="1"/>
    <col min="13561" max="13561" width="29" style="24" customWidth="1"/>
    <col min="13562" max="13562" width="14" style="24" customWidth="1"/>
    <col min="13563" max="13563" width="11.28515625" style="24" customWidth="1"/>
    <col min="13564" max="13564" width="16.7109375" style="24" customWidth="1"/>
    <col min="13565" max="13565" width="8.85546875" style="24" customWidth="1"/>
    <col min="13566" max="13566" width="29" style="24" customWidth="1"/>
    <col min="13567" max="13815" width="9.140625" style="24"/>
    <col min="13816" max="13816" width="3.28515625" style="24" customWidth="1"/>
    <col min="13817" max="13817" width="29" style="24" customWidth="1"/>
    <col min="13818" max="13818" width="14" style="24" customWidth="1"/>
    <col min="13819" max="13819" width="11.28515625" style="24" customWidth="1"/>
    <col min="13820" max="13820" width="16.7109375" style="24" customWidth="1"/>
    <col min="13821" max="13821" width="8.85546875" style="24" customWidth="1"/>
    <col min="13822" max="13822" width="29" style="24" customWidth="1"/>
    <col min="13823" max="14071" width="9.140625" style="24"/>
    <col min="14072" max="14072" width="3.28515625" style="24" customWidth="1"/>
    <col min="14073" max="14073" width="29" style="24" customWidth="1"/>
    <col min="14074" max="14074" width="14" style="24" customWidth="1"/>
    <col min="14075" max="14075" width="11.28515625" style="24" customWidth="1"/>
    <col min="14076" max="14076" width="16.7109375" style="24" customWidth="1"/>
    <col min="14077" max="14077" width="8.85546875" style="24" customWidth="1"/>
    <col min="14078" max="14078" width="29" style="24" customWidth="1"/>
    <col min="14079" max="14327" width="9.140625" style="24"/>
    <col min="14328" max="14328" width="3.28515625" style="24" customWidth="1"/>
    <col min="14329" max="14329" width="29" style="24" customWidth="1"/>
    <col min="14330" max="14330" width="14" style="24" customWidth="1"/>
    <col min="14331" max="14331" width="11.28515625" style="24" customWidth="1"/>
    <col min="14332" max="14332" width="16.7109375" style="24" customWidth="1"/>
    <col min="14333" max="14333" width="8.85546875" style="24" customWidth="1"/>
    <col min="14334" max="14334" width="29" style="24" customWidth="1"/>
    <col min="14335" max="14583" width="9.140625" style="24"/>
    <col min="14584" max="14584" width="3.28515625" style="24" customWidth="1"/>
    <col min="14585" max="14585" width="29" style="24" customWidth="1"/>
    <col min="14586" max="14586" width="14" style="24" customWidth="1"/>
    <col min="14587" max="14587" width="11.28515625" style="24" customWidth="1"/>
    <col min="14588" max="14588" width="16.7109375" style="24" customWidth="1"/>
    <col min="14589" max="14589" width="8.85546875" style="24" customWidth="1"/>
    <col min="14590" max="14590" width="29" style="24" customWidth="1"/>
    <col min="14591" max="14839" width="9.140625" style="24"/>
    <col min="14840" max="14840" width="3.28515625" style="24" customWidth="1"/>
    <col min="14841" max="14841" width="29" style="24" customWidth="1"/>
    <col min="14842" max="14842" width="14" style="24" customWidth="1"/>
    <col min="14843" max="14843" width="11.28515625" style="24" customWidth="1"/>
    <col min="14844" max="14844" width="16.7109375" style="24" customWidth="1"/>
    <col min="14845" max="14845" width="8.85546875" style="24" customWidth="1"/>
    <col min="14846" max="14846" width="29" style="24" customWidth="1"/>
    <col min="14847" max="15095" width="9.140625" style="24"/>
    <col min="15096" max="15096" width="3.28515625" style="24" customWidth="1"/>
    <col min="15097" max="15097" width="29" style="24" customWidth="1"/>
    <col min="15098" max="15098" width="14" style="24" customWidth="1"/>
    <col min="15099" max="15099" width="11.28515625" style="24" customWidth="1"/>
    <col min="15100" max="15100" width="16.7109375" style="24" customWidth="1"/>
    <col min="15101" max="15101" width="8.85546875" style="24" customWidth="1"/>
    <col min="15102" max="15102" width="29" style="24" customWidth="1"/>
    <col min="15103" max="15351" width="9.140625" style="24"/>
    <col min="15352" max="15352" width="3.28515625" style="24" customWidth="1"/>
    <col min="15353" max="15353" width="29" style="24" customWidth="1"/>
    <col min="15354" max="15354" width="14" style="24" customWidth="1"/>
    <col min="15355" max="15355" width="11.28515625" style="24" customWidth="1"/>
    <col min="15356" max="15356" width="16.7109375" style="24" customWidth="1"/>
    <col min="15357" max="15357" width="8.85546875" style="24" customWidth="1"/>
    <col min="15358" max="15358" width="29" style="24" customWidth="1"/>
    <col min="15359" max="15607" width="9.140625" style="24"/>
    <col min="15608" max="15608" width="3.28515625" style="24" customWidth="1"/>
    <col min="15609" max="15609" width="29" style="24" customWidth="1"/>
    <col min="15610" max="15610" width="14" style="24" customWidth="1"/>
    <col min="15611" max="15611" width="11.28515625" style="24" customWidth="1"/>
    <col min="15612" max="15612" width="16.7109375" style="24" customWidth="1"/>
    <col min="15613" max="15613" width="8.85546875" style="24" customWidth="1"/>
    <col min="15614" max="15614" width="29" style="24" customWidth="1"/>
    <col min="15615" max="15863" width="9.140625" style="24"/>
    <col min="15864" max="15864" width="3.28515625" style="24" customWidth="1"/>
    <col min="15865" max="15865" width="29" style="24" customWidth="1"/>
    <col min="15866" max="15866" width="14" style="24" customWidth="1"/>
    <col min="15867" max="15867" width="11.28515625" style="24" customWidth="1"/>
    <col min="15868" max="15868" width="16.7109375" style="24" customWidth="1"/>
    <col min="15869" max="15869" width="8.85546875" style="24" customWidth="1"/>
    <col min="15870" max="15870" width="29" style="24" customWidth="1"/>
    <col min="15871" max="16119" width="9.140625" style="24"/>
    <col min="16120" max="16120" width="3.28515625" style="24" customWidth="1"/>
    <col min="16121" max="16121" width="29" style="24" customWidth="1"/>
    <col min="16122" max="16122" width="14" style="24" customWidth="1"/>
    <col min="16123" max="16123" width="11.28515625" style="24" customWidth="1"/>
    <col min="16124" max="16124" width="16.7109375" style="24" customWidth="1"/>
    <col min="16125" max="16125" width="8.85546875" style="24" customWidth="1"/>
    <col min="16126" max="16126" width="29" style="24" customWidth="1"/>
    <col min="16127" max="16384" width="9.140625" style="24"/>
  </cols>
  <sheetData>
    <row r="1" spans="1:247" ht="15.75" x14ac:dyDescent="0.2">
      <c r="C1" s="131"/>
      <c r="D1" s="131"/>
      <c r="E1" s="131"/>
      <c r="F1" s="131"/>
      <c r="G1" s="131"/>
      <c r="H1" s="131"/>
      <c r="I1" s="131"/>
      <c r="J1" s="131"/>
      <c r="K1" s="131"/>
      <c r="L1" s="131"/>
    </row>
    <row r="2" spans="1:247" ht="23.25" x14ac:dyDescent="0.2">
      <c r="A2" s="188"/>
      <c r="B2" s="188"/>
      <c r="C2" s="448" t="s">
        <v>172</v>
      </c>
      <c r="D2" s="448"/>
      <c r="E2" s="448"/>
      <c r="F2" s="448"/>
      <c r="G2" s="448"/>
      <c r="H2" s="448"/>
      <c r="I2" s="448"/>
      <c r="J2" s="448"/>
      <c r="K2" s="187"/>
      <c r="L2" s="173"/>
    </row>
    <row r="3" spans="1:247" ht="15.75" x14ac:dyDescent="0.2">
      <c r="A3" s="188"/>
      <c r="B3" s="188"/>
      <c r="C3" s="131"/>
      <c r="D3" s="188"/>
      <c r="E3" s="188"/>
      <c r="F3" s="188"/>
      <c r="G3" s="188"/>
      <c r="H3" s="131"/>
      <c r="I3" s="131"/>
      <c r="J3" s="131"/>
      <c r="K3" s="131"/>
      <c r="L3" s="131"/>
    </row>
    <row r="4" spans="1:247" ht="21" customHeight="1" x14ac:dyDescent="0.2">
      <c r="A4" s="188"/>
      <c r="B4" s="188"/>
      <c r="C4" s="131"/>
      <c r="D4" s="188"/>
      <c r="E4" s="188"/>
      <c r="F4" s="188"/>
      <c r="G4" s="188"/>
      <c r="H4" s="131"/>
      <c r="I4" s="131"/>
      <c r="J4" s="131"/>
      <c r="K4" s="131"/>
      <c r="L4" s="131"/>
    </row>
    <row r="5" spans="1:247" ht="15.75" x14ac:dyDescent="0.25">
      <c r="A5" s="351" t="s">
        <v>178</v>
      </c>
      <c r="B5" s="351"/>
      <c r="C5" s="351"/>
      <c r="D5" s="351"/>
      <c r="E5" s="351"/>
      <c r="F5" s="351"/>
      <c r="G5" s="519" t="s">
        <v>501</v>
      </c>
      <c r="H5" s="519"/>
      <c r="I5" s="519"/>
      <c r="J5" s="519"/>
      <c r="K5" s="131"/>
      <c r="L5" s="131"/>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c r="BA5" s="105"/>
      <c r="BB5" s="105"/>
      <c r="BC5" s="105"/>
      <c r="BD5" s="105"/>
      <c r="BE5" s="105"/>
      <c r="BF5" s="105"/>
      <c r="BG5" s="105"/>
      <c r="BH5" s="105"/>
      <c r="BI5" s="105"/>
      <c r="BJ5" s="105"/>
      <c r="BK5" s="105"/>
      <c r="BL5" s="105"/>
      <c r="BM5" s="105"/>
      <c r="BN5" s="105"/>
      <c r="BO5" s="105"/>
      <c r="BP5" s="105"/>
      <c r="BQ5" s="105"/>
      <c r="BR5" s="105"/>
      <c r="BS5" s="105"/>
      <c r="BT5" s="105"/>
      <c r="BU5" s="105"/>
      <c r="BV5" s="105"/>
      <c r="BW5" s="105"/>
      <c r="BX5" s="105"/>
      <c r="BY5" s="105"/>
      <c r="BZ5" s="105"/>
      <c r="CA5" s="105"/>
      <c r="CB5" s="105"/>
      <c r="CC5" s="105"/>
      <c r="CD5" s="105"/>
      <c r="CE5" s="105"/>
      <c r="CF5" s="105"/>
      <c r="CG5" s="105"/>
      <c r="CH5" s="105"/>
      <c r="CI5" s="105"/>
      <c r="CJ5" s="105"/>
      <c r="CK5" s="105"/>
      <c r="CL5" s="105"/>
      <c r="CM5" s="105"/>
      <c r="CN5" s="105"/>
      <c r="CO5" s="105"/>
      <c r="CP5" s="105"/>
      <c r="CQ5" s="105"/>
      <c r="CR5" s="105"/>
      <c r="CS5" s="105"/>
      <c r="CT5" s="105"/>
      <c r="CU5" s="105"/>
      <c r="CV5" s="105"/>
      <c r="CW5" s="105"/>
      <c r="CX5" s="105"/>
      <c r="CY5" s="105"/>
      <c r="CZ5" s="105"/>
      <c r="DA5" s="105"/>
      <c r="DB5" s="105"/>
      <c r="DC5" s="105"/>
      <c r="DD5" s="105"/>
      <c r="DE5" s="105"/>
      <c r="DF5" s="105"/>
      <c r="DG5" s="105"/>
      <c r="DH5" s="105"/>
      <c r="DI5" s="105"/>
      <c r="DJ5" s="105"/>
      <c r="DK5" s="105"/>
      <c r="DL5" s="105"/>
      <c r="DM5" s="105"/>
      <c r="DN5" s="105"/>
      <c r="DO5" s="105"/>
      <c r="DP5" s="105"/>
      <c r="DQ5" s="105"/>
      <c r="DR5" s="105"/>
      <c r="DS5" s="105"/>
      <c r="DT5" s="105"/>
      <c r="DU5" s="105"/>
      <c r="DV5" s="105"/>
      <c r="DW5" s="105"/>
      <c r="DX5" s="105"/>
      <c r="DY5" s="105"/>
      <c r="DZ5" s="105"/>
      <c r="EA5" s="105"/>
      <c r="EB5" s="105"/>
      <c r="EC5" s="105"/>
      <c r="ED5" s="105"/>
      <c r="EE5" s="105"/>
      <c r="EF5" s="105"/>
      <c r="EG5" s="105"/>
      <c r="EH5" s="105"/>
      <c r="EI5" s="105"/>
      <c r="EJ5" s="105"/>
      <c r="EK5" s="105"/>
      <c r="EL5" s="105"/>
      <c r="EM5" s="105"/>
      <c r="EN5" s="105"/>
      <c r="EO5" s="105"/>
      <c r="EP5" s="105"/>
      <c r="EQ5" s="105"/>
      <c r="ER5" s="105"/>
      <c r="ES5" s="105"/>
      <c r="ET5" s="105"/>
      <c r="EU5" s="105"/>
      <c r="EV5" s="105"/>
      <c r="EW5" s="105"/>
      <c r="EX5" s="105"/>
      <c r="EY5" s="105"/>
      <c r="EZ5" s="105"/>
      <c r="FA5" s="105"/>
      <c r="FB5" s="105"/>
      <c r="FC5" s="105"/>
      <c r="FD5" s="105"/>
      <c r="FE5" s="105"/>
      <c r="FF5" s="105"/>
      <c r="FG5" s="105"/>
      <c r="FH5" s="105"/>
      <c r="FI5" s="105"/>
      <c r="FJ5" s="105"/>
      <c r="FK5" s="105"/>
      <c r="FL5" s="105"/>
      <c r="FM5" s="105"/>
      <c r="FN5" s="105"/>
      <c r="FO5" s="105"/>
      <c r="FP5" s="105"/>
      <c r="FQ5" s="105"/>
      <c r="FR5" s="105"/>
      <c r="FS5" s="105"/>
      <c r="FT5" s="105"/>
      <c r="FU5" s="105"/>
      <c r="FV5" s="105"/>
      <c r="FW5" s="105"/>
      <c r="FX5" s="105"/>
      <c r="FY5" s="105"/>
      <c r="FZ5" s="105"/>
      <c r="GA5" s="105"/>
      <c r="GB5" s="105"/>
      <c r="GC5" s="105"/>
      <c r="GD5" s="105"/>
      <c r="GE5" s="105"/>
      <c r="GF5" s="105"/>
      <c r="GG5" s="105"/>
      <c r="GH5" s="105"/>
      <c r="GI5" s="105"/>
      <c r="GJ5" s="105"/>
      <c r="GK5" s="105"/>
      <c r="GL5" s="105"/>
      <c r="GM5" s="105"/>
      <c r="GN5" s="105"/>
      <c r="GO5" s="105"/>
      <c r="GP5" s="105"/>
      <c r="GQ5" s="105"/>
      <c r="GR5" s="105"/>
      <c r="GS5" s="105"/>
      <c r="GT5" s="105"/>
      <c r="GU5" s="105"/>
      <c r="GV5" s="105"/>
      <c r="GW5" s="105"/>
      <c r="GX5" s="105"/>
      <c r="GY5" s="105"/>
      <c r="GZ5" s="105"/>
      <c r="HA5" s="105"/>
      <c r="HB5" s="105"/>
      <c r="HC5" s="105"/>
      <c r="HD5" s="105"/>
      <c r="HE5" s="105"/>
      <c r="HF5" s="105"/>
      <c r="HG5" s="105"/>
      <c r="HH5" s="105"/>
      <c r="HI5" s="105"/>
      <c r="HJ5" s="105"/>
      <c r="HK5" s="105"/>
      <c r="HL5" s="105"/>
      <c r="HM5" s="105"/>
      <c r="HN5" s="105"/>
      <c r="HO5" s="105"/>
      <c r="HP5" s="105"/>
      <c r="HQ5" s="105"/>
      <c r="HR5" s="105"/>
      <c r="HS5" s="105"/>
      <c r="HT5" s="105"/>
      <c r="HU5" s="105"/>
      <c r="HV5" s="105"/>
      <c r="HW5" s="105"/>
      <c r="HX5" s="105"/>
      <c r="HY5" s="105"/>
      <c r="HZ5" s="105"/>
      <c r="IA5" s="105"/>
      <c r="IB5" s="105"/>
      <c r="IC5" s="105"/>
      <c r="ID5" s="105"/>
      <c r="IE5" s="105"/>
      <c r="IF5" s="105"/>
      <c r="IG5" s="105"/>
      <c r="IH5" s="105"/>
      <c r="II5" s="105"/>
      <c r="IJ5" s="105"/>
      <c r="IK5" s="105"/>
      <c r="IL5" s="105"/>
      <c r="IM5" s="105"/>
    </row>
    <row r="6" spans="1:247" ht="18" x14ac:dyDescent="0.25">
      <c r="A6" s="450" t="s">
        <v>221</v>
      </c>
      <c r="B6" s="450"/>
      <c r="C6" s="450"/>
      <c r="D6" s="450"/>
      <c r="E6" s="450"/>
      <c r="F6" s="450"/>
      <c r="G6" s="450"/>
      <c r="H6" s="450"/>
      <c r="I6" s="131"/>
      <c r="J6" s="131"/>
      <c r="K6" s="131"/>
      <c r="L6" s="131"/>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5"/>
      <c r="BK6" s="105"/>
      <c r="BL6" s="105"/>
      <c r="BM6" s="105"/>
      <c r="BN6" s="105"/>
      <c r="BO6" s="105"/>
      <c r="BP6" s="105"/>
      <c r="BQ6" s="105"/>
      <c r="BR6" s="105"/>
      <c r="BS6" s="105"/>
      <c r="BT6" s="105"/>
      <c r="BU6" s="105"/>
      <c r="BV6" s="105"/>
      <c r="BW6" s="105"/>
      <c r="BX6" s="105"/>
      <c r="BY6" s="105"/>
      <c r="BZ6" s="105"/>
      <c r="CA6" s="105"/>
      <c r="CB6" s="105"/>
      <c r="CC6" s="105"/>
      <c r="CD6" s="105"/>
      <c r="CE6" s="105"/>
      <c r="CF6" s="105"/>
      <c r="CG6" s="105"/>
      <c r="CH6" s="105"/>
      <c r="CI6" s="105"/>
      <c r="CJ6" s="105"/>
      <c r="CK6" s="105"/>
      <c r="CL6" s="105"/>
      <c r="CM6" s="105"/>
      <c r="CN6" s="105"/>
      <c r="CO6" s="105"/>
      <c r="CP6" s="105"/>
      <c r="CQ6" s="105"/>
      <c r="CR6" s="105"/>
      <c r="CS6" s="105"/>
      <c r="CT6" s="105"/>
      <c r="CU6" s="105"/>
      <c r="CV6" s="105"/>
      <c r="CW6" s="105"/>
      <c r="CX6" s="105"/>
      <c r="CY6" s="105"/>
      <c r="CZ6" s="105"/>
      <c r="DA6" s="105"/>
      <c r="DB6" s="105"/>
      <c r="DC6" s="105"/>
      <c r="DD6" s="105"/>
      <c r="DE6" s="105"/>
      <c r="DF6" s="105"/>
      <c r="DG6" s="105"/>
      <c r="DH6" s="105"/>
      <c r="DI6" s="105"/>
      <c r="DJ6" s="105"/>
      <c r="DK6" s="105"/>
      <c r="DL6" s="105"/>
      <c r="DM6" s="105"/>
      <c r="DN6" s="105"/>
      <c r="DO6" s="105"/>
      <c r="DP6" s="105"/>
      <c r="DQ6" s="105"/>
      <c r="DR6" s="105"/>
      <c r="DS6" s="105"/>
      <c r="DT6" s="105"/>
      <c r="DU6" s="105"/>
      <c r="DV6" s="105"/>
      <c r="DW6" s="105"/>
      <c r="DX6" s="105"/>
      <c r="DY6" s="105"/>
      <c r="DZ6" s="105"/>
      <c r="EA6" s="105"/>
      <c r="EB6" s="105"/>
      <c r="EC6" s="105"/>
      <c r="ED6" s="105"/>
      <c r="EE6" s="105"/>
      <c r="EF6" s="105"/>
      <c r="EG6" s="105"/>
      <c r="EH6" s="105"/>
      <c r="EI6" s="105"/>
      <c r="EJ6" s="105"/>
      <c r="EK6" s="105"/>
      <c r="EL6" s="105"/>
      <c r="EM6" s="105"/>
      <c r="EN6" s="105"/>
      <c r="EO6" s="105"/>
      <c r="EP6" s="105"/>
      <c r="EQ6" s="105"/>
      <c r="ER6" s="105"/>
      <c r="ES6" s="105"/>
      <c r="ET6" s="105"/>
      <c r="EU6" s="105"/>
      <c r="EV6" s="105"/>
      <c r="EW6" s="105"/>
      <c r="EX6" s="105"/>
      <c r="EY6" s="105"/>
      <c r="EZ6" s="105"/>
      <c r="FA6" s="105"/>
      <c r="FB6" s="105"/>
      <c r="FC6" s="105"/>
      <c r="FD6" s="105"/>
      <c r="FE6" s="105"/>
      <c r="FF6" s="105"/>
      <c r="FG6" s="105"/>
      <c r="FH6" s="105"/>
      <c r="FI6" s="105"/>
      <c r="FJ6" s="105"/>
      <c r="FK6" s="105"/>
      <c r="FL6" s="105"/>
      <c r="FM6" s="105"/>
      <c r="FN6" s="105"/>
      <c r="FO6" s="105"/>
      <c r="FP6" s="105"/>
      <c r="FQ6" s="105"/>
      <c r="FR6" s="105"/>
      <c r="FS6" s="105"/>
      <c r="FT6" s="105"/>
      <c r="FU6" s="105"/>
      <c r="FV6" s="105"/>
      <c r="FW6" s="105"/>
      <c r="FX6" s="105"/>
      <c r="FY6" s="105"/>
      <c r="FZ6" s="105"/>
      <c r="GA6" s="105"/>
      <c r="GB6" s="105"/>
      <c r="GC6" s="105"/>
      <c r="GD6" s="105"/>
      <c r="GE6" s="105"/>
      <c r="GF6" s="105"/>
      <c r="GG6" s="105"/>
      <c r="GH6" s="105"/>
      <c r="GI6" s="105"/>
      <c r="GJ6" s="105"/>
      <c r="GK6" s="105"/>
      <c r="GL6" s="105"/>
      <c r="GM6" s="105"/>
      <c r="GN6" s="105"/>
      <c r="GO6" s="105"/>
      <c r="GP6" s="105"/>
      <c r="GQ6" s="105"/>
      <c r="GR6" s="105"/>
      <c r="GS6" s="105"/>
      <c r="GT6" s="105"/>
      <c r="GU6" s="105"/>
      <c r="GV6" s="105"/>
      <c r="GW6" s="105"/>
      <c r="GX6" s="105"/>
      <c r="GY6" s="105"/>
      <c r="GZ6" s="105"/>
      <c r="HA6" s="105"/>
      <c r="HB6" s="105"/>
      <c r="HC6" s="105"/>
      <c r="HD6" s="105"/>
      <c r="HE6" s="105"/>
      <c r="HF6" s="105"/>
      <c r="HG6" s="105"/>
      <c r="HH6" s="105"/>
      <c r="HI6" s="105"/>
      <c r="HJ6" s="105"/>
      <c r="HK6" s="105"/>
      <c r="HL6" s="105"/>
      <c r="HM6" s="105"/>
      <c r="HN6" s="105"/>
      <c r="HO6" s="105"/>
      <c r="HP6" s="105"/>
      <c r="HQ6" s="105"/>
      <c r="HR6" s="105"/>
      <c r="HS6" s="105"/>
      <c r="HT6" s="105"/>
      <c r="HU6" s="105"/>
      <c r="HV6" s="105"/>
      <c r="HW6" s="105"/>
      <c r="HX6" s="105"/>
      <c r="HY6" s="105"/>
      <c r="HZ6" s="105"/>
      <c r="IA6" s="105"/>
      <c r="IB6" s="105"/>
      <c r="IC6" s="105"/>
      <c r="ID6" s="105"/>
      <c r="IE6" s="105"/>
      <c r="IF6" s="105"/>
      <c r="IG6" s="105"/>
      <c r="IH6" s="105"/>
      <c r="II6" s="105"/>
      <c r="IJ6" s="105"/>
      <c r="IK6" s="105"/>
      <c r="IL6" s="105"/>
      <c r="IM6" s="105"/>
    </row>
    <row r="7" spans="1:247" ht="15.75" x14ac:dyDescent="0.2">
      <c r="A7" s="451" t="s">
        <v>112</v>
      </c>
      <c r="B7" s="451"/>
      <c r="C7" s="451"/>
      <c r="D7" s="451"/>
      <c r="E7" s="451"/>
      <c r="F7" s="451"/>
      <c r="G7" s="451"/>
      <c r="H7" s="451"/>
      <c r="I7" s="131"/>
      <c r="J7" s="131"/>
      <c r="K7" s="131"/>
      <c r="L7" s="131"/>
      <c r="M7" s="106"/>
      <c r="N7" s="106"/>
      <c r="O7" s="106"/>
      <c r="P7" s="106"/>
      <c r="Q7" s="106"/>
      <c r="R7" s="106"/>
      <c r="S7" s="106"/>
      <c r="T7" s="106"/>
      <c r="U7" s="106"/>
      <c r="V7" s="106"/>
      <c r="W7" s="106"/>
      <c r="X7" s="106"/>
      <c r="Y7" s="106"/>
      <c r="Z7" s="106"/>
      <c r="AA7" s="106"/>
      <c r="AB7" s="106"/>
      <c r="AC7" s="106"/>
      <c r="AD7" s="106"/>
      <c r="AE7" s="106"/>
      <c r="AF7" s="106"/>
      <c r="AG7" s="106"/>
      <c r="AH7" s="106"/>
      <c r="AI7" s="106"/>
      <c r="AJ7" s="106"/>
      <c r="AK7" s="106"/>
      <c r="AL7" s="106"/>
      <c r="AM7" s="106"/>
      <c r="AN7" s="106"/>
      <c r="AO7" s="106"/>
      <c r="AP7" s="106"/>
      <c r="AQ7" s="106"/>
      <c r="AR7" s="106"/>
      <c r="AS7" s="106"/>
      <c r="AT7" s="106"/>
      <c r="AU7" s="106"/>
      <c r="AV7" s="106"/>
      <c r="AW7" s="106"/>
      <c r="AX7" s="106"/>
      <c r="AY7" s="106"/>
      <c r="AZ7" s="106"/>
      <c r="BA7" s="106"/>
      <c r="BB7" s="106"/>
      <c r="BC7" s="106"/>
      <c r="BD7" s="106"/>
      <c r="BE7" s="106"/>
      <c r="BF7" s="106"/>
      <c r="BG7" s="106"/>
      <c r="BH7" s="106"/>
      <c r="BI7" s="106"/>
      <c r="BJ7" s="106"/>
      <c r="BK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c r="CO7" s="106"/>
      <c r="CP7" s="106"/>
      <c r="CQ7" s="106"/>
      <c r="CR7" s="106"/>
      <c r="CS7" s="106"/>
      <c r="CT7" s="106"/>
      <c r="CU7" s="106"/>
      <c r="CV7" s="106"/>
      <c r="CW7" s="106"/>
      <c r="CX7" s="106"/>
      <c r="CY7" s="106"/>
      <c r="CZ7" s="106"/>
      <c r="DA7" s="106"/>
      <c r="DB7" s="106"/>
      <c r="DC7" s="106"/>
      <c r="DD7" s="106"/>
      <c r="DE7" s="106"/>
      <c r="DF7" s="106"/>
      <c r="DG7" s="106"/>
      <c r="DH7" s="106"/>
      <c r="DI7" s="106"/>
      <c r="DJ7" s="106"/>
      <c r="DK7" s="106"/>
      <c r="DL7" s="106"/>
      <c r="DM7" s="106"/>
      <c r="DN7" s="106"/>
      <c r="DO7" s="106"/>
      <c r="DP7" s="106"/>
      <c r="DQ7" s="106"/>
      <c r="DR7" s="106"/>
      <c r="DS7" s="106"/>
      <c r="DT7" s="106"/>
      <c r="DU7" s="106"/>
      <c r="DV7" s="106"/>
      <c r="DW7" s="106"/>
      <c r="DX7" s="106"/>
      <c r="DY7" s="106"/>
      <c r="DZ7" s="106"/>
      <c r="EA7" s="106"/>
      <c r="EB7" s="106"/>
      <c r="EC7" s="106"/>
      <c r="ED7" s="106"/>
      <c r="EE7" s="106"/>
      <c r="EF7" s="106"/>
      <c r="EG7" s="106"/>
      <c r="EH7" s="106"/>
      <c r="EI7" s="106"/>
      <c r="EJ7" s="106"/>
      <c r="EK7" s="106"/>
      <c r="EL7" s="106"/>
      <c r="EM7" s="106"/>
      <c r="EN7" s="106"/>
      <c r="EO7" s="106"/>
      <c r="EP7" s="106"/>
      <c r="EQ7" s="106"/>
      <c r="ER7" s="106"/>
      <c r="ES7" s="106"/>
      <c r="ET7" s="106"/>
      <c r="EU7" s="106"/>
      <c r="EV7" s="106"/>
      <c r="EW7" s="106"/>
      <c r="EX7" s="106"/>
      <c r="EY7" s="106"/>
      <c r="EZ7" s="106"/>
      <c r="FA7" s="106"/>
      <c r="FB7" s="106"/>
      <c r="FC7" s="106"/>
      <c r="FD7" s="106"/>
      <c r="FE7" s="106"/>
      <c r="FF7" s="106"/>
      <c r="FG7" s="106"/>
      <c r="FH7" s="106"/>
      <c r="FI7" s="106"/>
      <c r="FJ7" s="106"/>
      <c r="FK7" s="106"/>
      <c r="FL7" s="106"/>
      <c r="FM7" s="106"/>
      <c r="FN7" s="106"/>
      <c r="FO7" s="106"/>
      <c r="FP7" s="106"/>
      <c r="FQ7" s="106"/>
      <c r="FR7" s="106"/>
      <c r="FS7" s="106"/>
      <c r="FT7" s="106"/>
      <c r="FU7" s="106"/>
      <c r="FV7" s="106"/>
      <c r="FW7" s="106"/>
      <c r="FX7" s="106"/>
      <c r="FY7" s="106"/>
      <c r="FZ7" s="106"/>
      <c r="GA7" s="106"/>
      <c r="GB7" s="106"/>
      <c r="GC7" s="106"/>
      <c r="GD7" s="106"/>
      <c r="GE7" s="106"/>
      <c r="GF7" s="106"/>
      <c r="GG7" s="106"/>
      <c r="GH7" s="106"/>
      <c r="GI7" s="106"/>
      <c r="GJ7" s="106"/>
      <c r="GK7" s="106"/>
      <c r="GL7" s="106"/>
      <c r="GM7" s="106"/>
      <c r="GN7" s="106"/>
      <c r="GO7" s="106"/>
      <c r="GP7" s="106"/>
      <c r="GQ7" s="106"/>
      <c r="GR7" s="106"/>
      <c r="GS7" s="106"/>
      <c r="GT7" s="106"/>
      <c r="GU7" s="106"/>
      <c r="GV7" s="106"/>
      <c r="GW7" s="106"/>
      <c r="GX7" s="106"/>
      <c r="GY7" s="106"/>
      <c r="GZ7" s="106"/>
      <c r="HA7" s="106"/>
      <c r="HB7" s="106"/>
      <c r="HC7" s="106"/>
      <c r="HD7" s="106"/>
      <c r="HE7" s="106"/>
      <c r="HF7" s="106"/>
      <c r="HG7" s="106"/>
      <c r="HH7" s="106"/>
      <c r="HI7" s="106"/>
      <c r="HJ7" s="106"/>
      <c r="HK7" s="106"/>
      <c r="HL7" s="106"/>
      <c r="HM7" s="106"/>
      <c r="HN7" s="106"/>
      <c r="HO7" s="106"/>
      <c r="HP7" s="106"/>
      <c r="HQ7" s="106"/>
      <c r="HR7" s="106"/>
      <c r="HS7" s="106"/>
      <c r="HT7" s="106"/>
      <c r="HU7" s="106"/>
      <c r="HV7" s="106"/>
      <c r="HW7" s="106"/>
      <c r="HX7" s="106"/>
      <c r="HY7" s="106"/>
      <c r="HZ7" s="106"/>
      <c r="IA7" s="106"/>
      <c r="IB7" s="106"/>
      <c r="IC7" s="106"/>
      <c r="ID7" s="106"/>
      <c r="IE7" s="106"/>
      <c r="IF7" s="106"/>
      <c r="IG7" s="106"/>
      <c r="IH7" s="106"/>
      <c r="II7" s="106"/>
      <c r="IJ7" s="106"/>
      <c r="IK7" s="106"/>
      <c r="IL7" s="106"/>
      <c r="IM7" s="106"/>
    </row>
    <row r="8" spans="1:247" ht="15.75" x14ac:dyDescent="0.2">
      <c r="A8" s="131"/>
      <c r="B8" s="131"/>
      <c r="C8" s="131"/>
      <c r="D8" s="131"/>
      <c r="E8" s="131"/>
      <c r="F8" s="131"/>
      <c r="G8" s="131"/>
      <c r="I8" s="131"/>
      <c r="J8" s="131"/>
      <c r="K8" s="131"/>
      <c r="L8" s="131"/>
    </row>
    <row r="9" spans="1:247" ht="15.75" customHeight="1" x14ac:dyDescent="0.2">
      <c r="A9" s="447" t="s">
        <v>67</v>
      </c>
      <c r="B9" s="447"/>
      <c r="C9" s="447"/>
      <c r="D9" s="447"/>
      <c r="E9" s="447"/>
      <c r="F9" s="447"/>
      <c r="G9" s="447"/>
      <c r="H9" s="447"/>
      <c r="I9" s="447"/>
      <c r="J9" s="447"/>
      <c r="K9" s="186"/>
      <c r="L9" s="172"/>
    </row>
    <row r="10" spans="1:247" ht="15.75" customHeight="1" x14ac:dyDescent="0.2">
      <c r="A10" s="447" t="s">
        <v>222</v>
      </c>
      <c r="B10" s="447"/>
      <c r="C10" s="447"/>
      <c r="D10" s="447"/>
      <c r="E10" s="447"/>
      <c r="F10" s="447"/>
      <c r="G10" s="447"/>
      <c r="H10" s="447"/>
      <c r="I10" s="447"/>
      <c r="J10" s="447"/>
      <c r="K10" s="186"/>
      <c r="L10" s="172"/>
    </row>
    <row r="11" spans="1:247" ht="15" customHeight="1" x14ac:dyDescent="0.2">
      <c r="A11" s="455"/>
      <c r="B11" s="455"/>
      <c r="C11" s="455"/>
      <c r="D11" s="455"/>
      <c r="E11" s="455"/>
      <c r="F11" s="455"/>
      <c r="G11" s="455"/>
      <c r="H11" s="455"/>
      <c r="I11" s="131"/>
      <c r="J11" s="131"/>
      <c r="K11" s="131"/>
      <c r="L11" s="131"/>
    </row>
    <row r="12" spans="1:247" ht="16.5" customHeight="1" x14ac:dyDescent="0.2">
      <c r="A12" s="456" t="s">
        <v>126</v>
      </c>
      <c r="B12" s="457"/>
      <c r="C12" s="457"/>
      <c r="D12" s="457"/>
      <c r="E12" s="457"/>
      <c r="F12" s="457"/>
      <c r="G12" s="457"/>
      <c r="H12" s="457"/>
      <c r="I12" s="457"/>
      <c r="J12" s="458"/>
      <c r="K12" s="300"/>
      <c r="L12" s="314"/>
    </row>
    <row r="13" spans="1:247" ht="44.25" customHeight="1" x14ac:dyDescent="0.2">
      <c r="A13" s="505" t="s">
        <v>68</v>
      </c>
      <c r="B13" s="459"/>
      <c r="C13" s="459"/>
      <c r="D13" s="459"/>
      <c r="E13" s="459"/>
      <c r="F13" s="459"/>
      <c r="G13" s="212"/>
      <c r="I13" s="131"/>
      <c r="J13" s="131"/>
      <c r="K13" s="131"/>
      <c r="L13" s="178"/>
    </row>
    <row r="14" spans="1:247" ht="21" customHeight="1" x14ac:dyDescent="0.2">
      <c r="A14" s="501" t="s">
        <v>138</v>
      </c>
      <c r="B14" s="470"/>
      <c r="C14" s="470"/>
      <c r="D14" s="470"/>
      <c r="E14" s="470"/>
      <c r="F14" s="470"/>
      <c r="G14" s="470"/>
      <c r="H14" s="470" t="s">
        <v>134</v>
      </c>
      <c r="I14" s="470"/>
      <c r="J14" s="506"/>
      <c r="K14" s="168"/>
      <c r="L14" s="315"/>
    </row>
    <row r="15" spans="1:247" ht="33.75" customHeight="1" x14ac:dyDescent="0.2">
      <c r="A15" s="502" t="s">
        <v>193</v>
      </c>
      <c r="B15" s="503"/>
      <c r="C15" s="503"/>
      <c r="D15" s="503"/>
      <c r="E15" s="503"/>
      <c r="F15" s="503"/>
      <c r="G15" s="503"/>
      <c r="H15" s="503" t="s">
        <v>484</v>
      </c>
      <c r="I15" s="503"/>
      <c r="J15" s="504"/>
      <c r="K15" s="168"/>
      <c r="L15" s="315"/>
    </row>
    <row r="16" spans="1:247" ht="18" customHeight="1" x14ac:dyDescent="0.2">
      <c r="A16" s="456" t="s">
        <v>127</v>
      </c>
      <c r="B16" s="457"/>
      <c r="C16" s="457"/>
      <c r="D16" s="457"/>
      <c r="E16" s="457"/>
      <c r="F16" s="457"/>
      <c r="G16" s="457"/>
      <c r="H16" s="457"/>
      <c r="I16" s="457"/>
      <c r="J16" s="458"/>
      <c r="K16" s="203"/>
      <c r="L16" s="167"/>
    </row>
    <row r="17" spans="1:256" ht="33.75" customHeight="1" x14ac:dyDescent="0.2">
      <c r="A17" s="456" t="s">
        <v>135</v>
      </c>
      <c r="B17" s="457"/>
      <c r="C17" s="457"/>
      <c r="D17" s="457"/>
      <c r="E17" s="457"/>
      <c r="F17" s="457"/>
      <c r="G17" s="457"/>
      <c r="H17" s="457"/>
      <c r="I17" s="457"/>
      <c r="J17" s="458"/>
      <c r="K17" s="215"/>
      <c r="L17" s="315"/>
    </row>
    <row r="18" spans="1:256" ht="66" customHeight="1" x14ac:dyDescent="0.2">
      <c r="A18" s="512" t="s">
        <v>223</v>
      </c>
      <c r="B18" s="513"/>
      <c r="C18" s="513"/>
      <c r="D18" s="513"/>
      <c r="E18" s="513"/>
      <c r="F18" s="513"/>
      <c r="G18" s="513"/>
      <c r="H18" s="513"/>
      <c r="I18" s="513"/>
      <c r="J18" s="513"/>
      <c r="K18" s="316"/>
      <c r="L18" s="317"/>
    </row>
    <row r="19" spans="1:256" ht="2.25" customHeight="1" x14ac:dyDescent="0.2">
      <c r="A19" s="477"/>
      <c r="B19" s="461"/>
      <c r="C19" s="461"/>
      <c r="D19" s="461"/>
      <c r="E19" s="461"/>
      <c r="F19" s="461"/>
      <c r="G19" s="188"/>
      <c r="H19" s="513"/>
      <c r="I19" s="513"/>
      <c r="J19" s="513"/>
      <c r="K19" s="513"/>
      <c r="L19" s="514"/>
    </row>
    <row r="20" spans="1:256" s="107" customFormat="1" ht="45" x14ac:dyDescent="0.2">
      <c r="A20" s="509" t="s">
        <v>69</v>
      </c>
      <c r="B20" s="510"/>
      <c r="C20" s="117" t="s">
        <v>117</v>
      </c>
      <c r="D20" s="118" t="s">
        <v>206</v>
      </c>
      <c r="E20" s="118" t="s">
        <v>140</v>
      </c>
      <c r="F20" s="118" t="s">
        <v>163</v>
      </c>
      <c r="G20" s="118" t="s">
        <v>141</v>
      </c>
      <c r="H20" s="118" t="s">
        <v>113</v>
      </c>
      <c r="I20" s="118" t="s">
        <v>114</v>
      </c>
      <c r="J20" s="118" t="s">
        <v>132</v>
      </c>
      <c r="K20" s="118" t="s">
        <v>191</v>
      </c>
      <c r="L20" s="125" t="s">
        <v>177</v>
      </c>
    </row>
    <row r="21" spans="1:256" s="107" customFormat="1" ht="38.25" x14ac:dyDescent="0.2">
      <c r="A21" s="511">
        <v>1</v>
      </c>
      <c r="B21" s="511"/>
      <c r="C21" s="127" t="s">
        <v>224</v>
      </c>
      <c r="D21" s="516" t="s">
        <v>435</v>
      </c>
      <c r="E21" s="218">
        <v>2</v>
      </c>
      <c r="F21" s="218">
        <v>4</v>
      </c>
      <c r="G21" s="135">
        <f ca="1">'12x36 DA'!C130</f>
        <v>7190.0786856367004</v>
      </c>
      <c r="H21" s="135">
        <f ca="1">'12x36 DA'!C132</f>
        <v>14380.157371273401</v>
      </c>
      <c r="I21" s="135">
        <f ca="1">H21*E21</f>
        <v>28760.314742546801</v>
      </c>
      <c r="J21" s="135">
        <f ca="1">I21*12</f>
        <v>345123.7769105616</v>
      </c>
      <c r="K21" s="117"/>
      <c r="L21" s="217"/>
    </row>
    <row r="22" spans="1:256" s="107" customFormat="1" ht="38.25" x14ac:dyDescent="0.2">
      <c r="A22" s="511">
        <v>2</v>
      </c>
      <c r="B22" s="511"/>
      <c r="C22" s="127" t="s">
        <v>207</v>
      </c>
      <c r="D22" s="517"/>
      <c r="E22" s="218">
        <v>2</v>
      </c>
      <c r="F22" s="218">
        <v>4</v>
      </c>
      <c r="G22" s="135">
        <f ca="1">'12X36 NA'!C131</f>
        <v>7862.5039607426997</v>
      </c>
      <c r="H22" s="135">
        <f ca="1">'12X36 NA'!C133</f>
        <v>15725.007921485399</v>
      </c>
      <c r="I22" s="135">
        <f ca="1">H22*E22</f>
        <v>31450.015842970799</v>
      </c>
      <c r="J22" s="135">
        <f ca="1">I22*12</f>
        <v>377400.1901156496</v>
      </c>
      <c r="K22" s="117"/>
      <c r="L22" s="217"/>
    </row>
    <row r="23" spans="1:256" s="129" customFormat="1" ht="51" customHeight="1" x14ac:dyDescent="0.2">
      <c r="A23" s="511">
        <v>3</v>
      </c>
      <c r="B23" s="511"/>
      <c r="C23" s="127" t="s">
        <v>225</v>
      </c>
      <c r="D23" s="517"/>
      <c r="E23" s="145">
        <v>3</v>
      </c>
      <c r="F23" s="128">
        <f>E23*1</f>
        <v>3</v>
      </c>
      <c r="G23" s="135">
        <f ca="1">'44HS DA'!C131</f>
        <v>7428.7104856366996</v>
      </c>
      <c r="H23" s="135">
        <f ca="1">'44HS DA'!C133</f>
        <v>7428.7104856366996</v>
      </c>
      <c r="I23" s="135">
        <f ca="1">H23*E23</f>
        <v>22286.131456910098</v>
      </c>
      <c r="J23" s="135">
        <f ca="1">I23*12</f>
        <v>267433.57748292119</v>
      </c>
      <c r="K23" s="135">
        <f ca="1">H23*E23*12</f>
        <v>267433.57748292119</v>
      </c>
      <c r="L23" s="136">
        <f ca="1">K23/300</f>
        <v>891.44525827640393</v>
      </c>
      <c r="M23" s="107"/>
    </row>
    <row r="24" spans="1:256" s="129" customFormat="1" ht="38.25" x14ac:dyDescent="0.2">
      <c r="A24" s="511">
        <v>4</v>
      </c>
      <c r="B24" s="511"/>
      <c r="C24" s="127" t="s">
        <v>226</v>
      </c>
      <c r="D24" s="518"/>
      <c r="E24" s="145">
        <v>2</v>
      </c>
      <c r="F24" s="128">
        <f>E24*1</f>
        <v>2</v>
      </c>
      <c r="G24" s="135">
        <f ca="1">'44HS DD'!C131</f>
        <v>7410.8946523033665</v>
      </c>
      <c r="H24" s="135">
        <f ca="1">'44HS DD'!C133</f>
        <v>7410.8946523033665</v>
      </c>
      <c r="I24" s="135">
        <f ca="1">H24*E24</f>
        <v>14821.789304606733</v>
      </c>
      <c r="J24" s="135">
        <f t="shared" ref="J24" ca="1" si="0">I24*12</f>
        <v>177861.47165528079</v>
      </c>
      <c r="K24" s="135"/>
      <c r="L24" s="136"/>
      <c r="M24" s="299"/>
    </row>
    <row r="25" spans="1:256" s="107" customFormat="1" ht="22.5" customHeight="1" x14ac:dyDescent="0.2">
      <c r="A25" s="463" t="s">
        <v>77</v>
      </c>
      <c r="B25" s="464"/>
      <c r="C25" s="464"/>
      <c r="D25" s="464"/>
      <c r="E25" s="205">
        <f>SUM(E21:E24)</f>
        <v>9</v>
      </c>
      <c r="F25" s="148">
        <f>SUM(F21:F24)</f>
        <v>13</v>
      </c>
      <c r="G25" s="175"/>
      <c r="H25" s="175"/>
      <c r="I25" s="175">
        <f ca="1">SUM(I21:I24)</f>
        <v>97318.251347034427</v>
      </c>
      <c r="J25" s="175">
        <f ca="1">SUM(J21:J24)</f>
        <v>1167819.0161644132</v>
      </c>
      <c r="K25" s="183">
        <f ca="1">SUM(K23:K24)</f>
        <v>267433.57748292119</v>
      </c>
      <c r="L25" s="137">
        <f ca="1">SUM(L23:L24)</f>
        <v>891.44525827640393</v>
      </c>
      <c r="M25" s="299"/>
    </row>
    <row r="26" spans="1:256" s="107" customFormat="1" ht="4.5" customHeight="1" x14ac:dyDescent="0.2">
      <c r="A26" s="452"/>
      <c r="B26" s="453"/>
      <c r="C26" s="453"/>
      <c r="D26" s="453"/>
      <c r="E26" s="453"/>
      <c r="F26" s="453"/>
      <c r="G26" s="453"/>
      <c r="H26" s="453"/>
      <c r="I26" s="453"/>
      <c r="J26" s="454"/>
      <c r="K26" s="207"/>
      <c r="L26" s="31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c r="BM26" s="108"/>
      <c r="BN26" s="108"/>
      <c r="BO26" s="108"/>
      <c r="BP26" s="108"/>
      <c r="BQ26" s="108"/>
      <c r="BR26" s="108"/>
      <c r="BS26" s="108"/>
      <c r="BT26" s="108"/>
      <c r="BU26" s="108"/>
      <c r="BV26" s="108"/>
      <c r="BW26" s="108"/>
      <c r="BX26" s="108"/>
      <c r="BY26" s="108"/>
      <c r="BZ26" s="108"/>
      <c r="CA26" s="108"/>
      <c r="CB26" s="108"/>
      <c r="CC26" s="108"/>
      <c r="CD26" s="108"/>
      <c r="CE26" s="108"/>
      <c r="CF26" s="108"/>
      <c r="CG26" s="108"/>
      <c r="CH26" s="108"/>
      <c r="CI26" s="108"/>
      <c r="CJ26" s="108"/>
      <c r="CK26" s="108"/>
      <c r="CL26" s="108"/>
      <c r="CM26" s="108"/>
      <c r="CN26" s="108"/>
      <c r="CO26" s="108"/>
      <c r="CP26" s="108"/>
      <c r="CQ26" s="108"/>
      <c r="CR26" s="108"/>
      <c r="CS26" s="108"/>
      <c r="CT26" s="108"/>
      <c r="CU26" s="108"/>
      <c r="CV26" s="108"/>
      <c r="CW26" s="108"/>
      <c r="CX26" s="108"/>
      <c r="CY26" s="108"/>
      <c r="CZ26" s="108"/>
      <c r="DA26" s="108"/>
      <c r="DB26" s="108"/>
      <c r="DC26" s="108"/>
      <c r="DD26" s="108"/>
      <c r="DE26" s="108"/>
      <c r="DF26" s="108"/>
      <c r="DG26" s="108"/>
      <c r="DH26" s="108"/>
      <c r="DI26" s="108"/>
      <c r="DJ26" s="108"/>
      <c r="DK26" s="108"/>
      <c r="DL26" s="108"/>
      <c r="DM26" s="108"/>
      <c r="DN26" s="108"/>
      <c r="DO26" s="108"/>
      <c r="DP26" s="108"/>
      <c r="DQ26" s="108"/>
      <c r="DR26" s="108"/>
      <c r="DS26" s="108"/>
      <c r="DT26" s="108"/>
      <c r="DU26" s="108"/>
      <c r="DV26" s="108"/>
      <c r="DW26" s="108"/>
      <c r="DX26" s="108"/>
      <c r="DY26" s="108"/>
      <c r="DZ26" s="108"/>
      <c r="EA26" s="108"/>
      <c r="EB26" s="108"/>
      <c r="EC26" s="108"/>
      <c r="ED26" s="108"/>
      <c r="EE26" s="108"/>
      <c r="EF26" s="108"/>
      <c r="EG26" s="108"/>
      <c r="EH26" s="108"/>
      <c r="EI26" s="108"/>
      <c r="EJ26" s="108"/>
      <c r="EK26" s="108"/>
      <c r="EL26" s="108"/>
      <c r="EM26" s="108"/>
      <c r="EN26" s="108"/>
      <c r="EO26" s="108"/>
      <c r="EP26" s="108"/>
      <c r="EQ26" s="108"/>
      <c r="ER26" s="108"/>
      <c r="ES26" s="108"/>
      <c r="ET26" s="108"/>
      <c r="EU26" s="108"/>
      <c r="EV26" s="108"/>
      <c r="EW26" s="108"/>
      <c r="EX26" s="108"/>
      <c r="EY26" s="108"/>
      <c r="EZ26" s="108"/>
      <c r="FA26" s="108"/>
      <c r="FB26" s="108"/>
      <c r="FC26" s="108"/>
      <c r="FD26" s="108"/>
      <c r="FE26" s="108"/>
      <c r="FF26" s="108"/>
      <c r="FG26" s="108"/>
      <c r="FH26" s="108"/>
      <c r="FI26" s="108"/>
      <c r="FJ26" s="108"/>
      <c r="FK26" s="108"/>
      <c r="FL26" s="108"/>
      <c r="FM26" s="108"/>
      <c r="FN26" s="108"/>
      <c r="FO26" s="108"/>
      <c r="FP26" s="108"/>
      <c r="FQ26" s="108"/>
      <c r="FR26" s="108"/>
      <c r="FS26" s="108"/>
      <c r="FT26" s="108"/>
      <c r="FU26" s="108"/>
      <c r="FV26" s="108"/>
      <c r="FW26" s="108"/>
      <c r="FX26" s="108"/>
      <c r="FY26" s="108"/>
      <c r="FZ26" s="108"/>
      <c r="GA26" s="108"/>
      <c r="GB26" s="108"/>
      <c r="GC26" s="108"/>
      <c r="GD26" s="108"/>
      <c r="GE26" s="108"/>
      <c r="GF26" s="108"/>
      <c r="GG26" s="108"/>
      <c r="GH26" s="108"/>
      <c r="GI26" s="108"/>
      <c r="GJ26" s="108"/>
      <c r="GK26" s="108"/>
      <c r="GL26" s="108"/>
      <c r="GM26" s="108"/>
      <c r="GN26" s="108"/>
      <c r="GO26" s="108"/>
      <c r="GP26" s="108"/>
      <c r="GQ26" s="108"/>
      <c r="GR26" s="108"/>
      <c r="GS26" s="108"/>
      <c r="GT26" s="108"/>
      <c r="GU26" s="108"/>
      <c r="GV26" s="108"/>
      <c r="GW26" s="108"/>
      <c r="GX26" s="108"/>
      <c r="GY26" s="108"/>
      <c r="GZ26" s="108"/>
      <c r="HA26" s="108"/>
      <c r="HB26" s="108"/>
      <c r="HC26" s="108"/>
      <c r="HD26" s="108"/>
      <c r="HE26" s="108"/>
      <c r="HF26" s="108"/>
      <c r="HG26" s="108"/>
      <c r="HH26" s="108"/>
      <c r="HI26" s="108"/>
      <c r="HJ26" s="108"/>
      <c r="HK26" s="108"/>
      <c r="HL26" s="108"/>
      <c r="HM26" s="108"/>
      <c r="HN26" s="108"/>
      <c r="HO26" s="108"/>
      <c r="HP26" s="108"/>
      <c r="HQ26" s="108"/>
      <c r="HR26" s="108"/>
      <c r="HS26" s="108"/>
      <c r="HT26" s="108"/>
      <c r="HU26" s="108"/>
      <c r="HV26" s="108"/>
      <c r="HW26" s="108"/>
      <c r="HX26" s="108"/>
      <c r="HY26" s="108"/>
      <c r="HZ26" s="108"/>
      <c r="IA26" s="108"/>
      <c r="IB26" s="108"/>
      <c r="IC26" s="108"/>
      <c r="ID26" s="108"/>
      <c r="IE26" s="108"/>
      <c r="IF26" s="108"/>
      <c r="IG26" s="108"/>
      <c r="IH26" s="108"/>
      <c r="II26" s="108"/>
      <c r="IJ26" s="108"/>
      <c r="IK26" s="108"/>
      <c r="IL26" s="108"/>
      <c r="IM26" s="108"/>
      <c r="IN26" s="108"/>
      <c r="IO26" s="108"/>
      <c r="IP26" s="108"/>
      <c r="IQ26" s="108"/>
      <c r="IR26" s="108"/>
      <c r="IS26" s="108"/>
      <c r="IT26" s="108"/>
      <c r="IU26" s="108"/>
      <c r="IV26" s="108"/>
    </row>
    <row r="27" spans="1:256" s="107" customFormat="1" ht="15" customHeight="1" x14ac:dyDescent="0.2">
      <c r="A27" s="507" t="s">
        <v>205</v>
      </c>
      <c r="B27" s="508"/>
      <c r="C27" s="508"/>
      <c r="D27" s="508"/>
      <c r="E27" s="508"/>
      <c r="F27" s="508"/>
      <c r="G27" s="508"/>
      <c r="H27" s="508"/>
      <c r="I27" s="508"/>
      <c r="J27" s="508"/>
      <c r="K27" s="207"/>
      <c r="L27" s="31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c r="BJ27" s="108"/>
      <c r="BK27" s="108"/>
      <c r="BL27" s="108"/>
      <c r="BM27" s="108"/>
      <c r="BN27" s="108"/>
      <c r="BO27" s="108"/>
      <c r="BP27" s="108"/>
      <c r="BQ27" s="108"/>
      <c r="BR27" s="108"/>
      <c r="BS27" s="108"/>
      <c r="BT27" s="108"/>
      <c r="BU27" s="108"/>
      <c r="BV27" s="108"/>
      <c r="BW27" s="108"/>
      <c r="BX27" s="108"/>
      <c r="BY27" s="108"/>
      <c r="BZ27" s="108"/>
      <c r="CA27" s="108"/>
      <c r="CB27" s="108"/>
      <c r="CC27" s="108"/>
      <c r="CD27" s="108"/>
      <c r="CE27" s="108"/>
      <c r="CF27" s="108"/>
      <c r="CG27" s="108"/>
      <c r="CH27" s="108"/>
      <c r="CI27" s="108"/>
      <c r="CJ27" s="108"/>
      <c r="CK27" s="108"/>
      <c r="CL27" s="108"/>
      <c r="CM27" s="108"/>
      <c r="CN27" s="108"/>
      <c r="CO27" s="108"/>
      <c r="CP27" s="108"/>
      <c r="CQ27" s="108"/>
      <c r="CR27" s="108"/>
      <c r="CS27" s="108"/>
      <c r="CT27" s="108"/>
      <c r="CU27" s="108"/>
      <c r="CV27" s="108"/>
      <c r="CW27" s="108"/>
      <c r="CX27" s="108"/>
      <c r="CY27" s="108"/>
      <c r="CZ27" s="108"/>
      <c r="DA27" s="108"/>
      <c r="DB27" s="108"/>
      <c r="DC27" s="108"/>
      <c r="DD27" s="108"/>
      <c r="DE27" s="108"/>
      <c r="DF27" s="108"/>
      <c r="DG27" s="108"/>
      <c r="DH27" s="108"/>
      <c r="DI27" s="108"/>
      <c r="DJ27" s="108"/>
      <c r="DK27" s="108"/>
      <c r="DL27" s="108"/>
      <c r="DM27" s="108"/>
      <c r="DN27" s="108"/>
      <c r="DO27" s="108"/>
      <c r="DP27" s="108"/>
      <c r="DQ27" s="108"/>
      <c r="DR27" s="108"/>
      <c r="DS27" s="108"/>
      <c r="DT27" s="108"/>
      <c r="DU27" s="108"/>
      <c r="DV27" s="108"/>
      <c r="DW27" s="108"/>
      <c r="DX27" s="108"/>
      <c r="DY27" s="108"/>
      <c r="DZ27" s="108"/>
      <c r="EA27" s="108"/>
      <c r="EB27" s="108"/>
      <c r="EC27" s="108"/>
      <c r="ED27" s="108"/>
      <c r="EE27" s="108"/>
      <c r="EF27" s="108"/>
      <c r="EG27" s="108"/>
      <c r="EH27" s="108"/>
      <c r="EI27" s="108"/>
      <c r="EJ27" s="108"/>
      <c r="EK27" s="108"/>
      <c r="EL27" s="108"/>
      <c r="EM27" s="108"/>
      <c r="EN27" s="108"/>
      <c r="EO27" s="108"/>
      <c r="EP27" s="108"/>
      <c r="EQ27" s="108"/>
      <c r="ER27" s="108"/>
      <c r="ES27" s="108"/>
      <c r="ET27" s="108"/>
      <c r="EU27" s="108"/>
      <c r="EV27" s="108"/>
      <c r="EW27" s="108"/>
      <c r="EX27" s="108"/>
      <c r="EY27" s="108"/>
      <c r="EZ27" s="108"/>
      <c r="FA27" s="108"/>
      <c r="FB27" s="108"/>
      <c r="FC27" s="108"/>
      <c r="FD27" s="108"/>
      <c r="FE27" s="108"/>
      <c r="FF27" s="108"/>
      <c r="FG27" s="108"/>
      <c r="FH27" s="108"/>
      <c r="FI27" s="108"/>
      <c r="FJ27" s="108"/>
      <c r="FK27" s="108"/>
      <c r="FL27" s="108"/>
      <c r="FM27" s="108"/>
      <c r="FN27" s="108"/>
      <c r="FO27" s="108"/>
      <c r="FP27" s="108"/>
      <c r="FQ27" s="108"/>
      <c r="FR27" s="108"/>
      <c r="FS27" s="108"/>
      <c r="FT27" s="108"/>
      <c r="FU27" s="108"/>
      <c r="FV27" s="108"/>
      <c r="FW27" s="108"/>
      <c r="FX27" s="108"/>
      <c r="FY27" s="108"/>
      <c r="FZ27" s="108"/>
      <c r="GA27" s="108"/>
      <c r="GB27" s="108"/>
      <c r="GC27" s="108"/>
      <c r="GD27" s="108"/>
      <c r="GE27" s="108"/>
      <c r="GF27" s="108"/>
      <c r="GG27" s="108"/>
      <c r="GH27" s="108"/>
      <c r="GI27" s="108"/>
      <c r="GJ27" s="108"/>
      <c r="GK27" s="108"/>
      <c r="GL27" s="108"/>
      <c r="GM27" s="108"/>
      <c r="GN27" s="108"/>
      <c r="GO27" s="108"/>
      <c r="GP27" s="108"/>
      <c r="GQ27" s="108"/>
      <c r="GR27" s="108"/>
      <c r="GS27" s="108"/>
      <c r="GT27" s="108"/>
      <c r="GU27" s="108"/>
      <c r="GV27" s="108"/>
      <c r="GW27" s="108"/>
      <c r="GX27" s="108"/>
      <c r="GY27" s="108"/>
      <c r="GZ27" s="108"/>
      <c r="HA27" s="108"/>
      <c r="HB27" s="108"/>
      <c r="HC27" s="108"/>
      <c r="HD27" s="108"/>
      <c r="HE27" s="108"/>
      <c r="HF27" s="108"/>
      <c r="HG27" s="108"/>
      <c r="HH27" s="108"/>
      <c r="HI27" s="108"/>
      <c r="HJ27" s="108"/>
      <c r="HK27" s="108"/>
      <c r="HL27" s="108"/>
      <c r="HM27" s="108"/>
      <c r="HN27" s="108"/>
      <c r="HO27" s="108"/>
      <c r="HP27" s="108"/>
      <c r="HQ27" s="108"/>
      <c r="HR27" s="108"/>
      <c r="HS27" s="108"/>
      <c r="HT27" s="108"/>
      <c r="HU27" s="108"/>
      <c r="HV27" s="108"/>
      <c r="HW27" s="108"/>
      <c r="HX27" s="108"/>
      <c r="HY27" s="108"/>
      <c r="HZ27" s="108"/>
      <c r="IA27" s="108"/>
      <c r="IB27" s="108"/>
      <c r="IC27" s="108"/>
      <c r="ID27" s="108"/>
      <c r="IE27" s="108"/>
      <c r="IF27" s="108"/>
      <c r="IG27" s="108"/>
      <c r="IH27" s="108"/>
      <c r="II27" s="108"/>
      <c r="IJ27" s="108"/>
      <c r="IK27" s="108"/>
      <c r="IL27" s="108"/>
      <c r="IM27" s="108"/>
      <c r="IN27" s="108"/>
      <c r="IO27" s="108"/>
      <c r="IP27" s="108"/>
      <c r="IQ27" s="108"/>
      <c r="IR27" s="108"/>
      <c r="IS27" s="108"/>
      <c r="IT27" s="108"/>
      <c r="IU27" s="108"/>
      <c r="IV27" s="108"/>
    </row>
    <row r="28" spans="1:256" s="107" customFormat="1" ht="18" customHeight="1" x14ac:dyDescent="0.2">
      <c r="A28" s="465" t="s">
        <v>78</v>
      </c>
      <c r="B28" s="465"/>
      <c r="C28" s="465"/>
      <c r="D28" s="465"/>
      <c r="E28" s="465"/>
      <c r="F28" s="465"/>
      <c r="G28" s="465"/>
      <c r="H28" s="465"/>
      <c r="I28" s="465"/>
      <c r="J28" s="142">
        <f ca="1">I25</f>
        <v>97318.251347034427</v>
      </c>
      <c r="K28" s="142"/>
      <c r="L28" s="109">
        <f ca="1">I25</f>
        <v>97318.251347034427</v>
      </c>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c r="BA28" s="108"/>
      <c r="BB28" s="108"/>
      <c r="BC28" s="108"/>
      <c r="BD28" s="108"/>
      <c r="BE28" s="108"/>
      <c r="BF28" s="108"/>
      <c r="BG28" s="108"/>
      <c r="BH28" s="108"/>
      <c r="BI28" s="108"/>
      <c r="BJ28" s="108"/>
      <c r="BK28" s="108"/>
      <c r="BL28" s="108"/>
      <c r="BM28" s="108"/>
      <c r="BN28" s="108"/>
      <c r="BO28" s="108"/>
      <c r="BP28" s="108"/>
      <c r="BQ28" s="108"/>
      <c r="BR28" s="108"/>
      <c r="BS28" s="108"/>
      <c r="BT28" s="108"/>
      <c r="BU28" s="108"/>
      <c r="BV28" s="108"/>
      <c r="BW28" s="108"/>
      <c r="BX28" s="108"/>
      <c r="BY28" s="108"/>
      <c r="BZ28" s="108"/>
      <c r="CA28" s="108"/>
      <c r="CB28" s="108"/>
      <c r="CC28" s="108"/>
      <c r="CD28" s="108"/>
      <c r="CE28" s="108"/>
      <c r="CF28" s="108"/>
      <c r="CG28" s="108"/>
      <c r="CH28" s="108"/>
      <c r="CI28" s="108"/>
      <c r="CJ28" s="108"/>
      <c r="CK28" s="108"/>
      <c r="CL28" s="108"/>
      <c r="CM28" s="108"/>
      <c r="CN28" s="108"/>
      <c r="CO28" s="108"/>
      <c r="CP28" s="108"/>
      <c r="CQ28" s="108"/>
      <c r="CR28" s="108"/>
      <c r="CS28" s="108"/>
      <c r="CT28" s="108"/>
      <c r="CU28" s="108"/>
      <c r="CV28" s="108"/>
      <c r="CW28" s="108"/>
      <c r="CX28" s="108"/>
      <c r="CY28" s="108"/>
      <c r="CZ28" s="108"/>
      <c r="DA28" s="108"/>
      <c r="DB28" s="108"/>
      <c r="DC28" s="108"/>
      <c r="DD28" s="108"/>
      <c r="DE28" s="108"/>
      <c r="DF28" s="108"/>
      <c r="DG28" s="108"/>
      <c r="DH28" s="108"/>
      <c r="DI28" s="108"/>
      <c r="DJ28" s="108"/>
      <c r="DK28" s="108"/>
      <c r="DL28" s="108"/>
      <c r="DM28" s="108"/>
      <c r="DN28" s="108"/>
      <c r="DO28" s="108"/>
      <c r="DP28" s="108"/>
      <c r="DQ28" s="108"/>
      <c r="DR28" s="108"/>
      <c r="DS28" s="108"/>
      <c r="DT28" s="108"/>
      <c r="DU28" s="108"/>
      <c r="DV28" s="108"/>
      <c r="DW28" s="108"/>
      <c r="DX28" s="108"/>
      <c r="DY28" s="108"/>
      <c r="DZ28" s="108"/>
      <c r="EA28" s="108"/>
      <c r="EB28" s="108"/>
      <c r="EC28" s="108"/>
      <c r="ED28" s="108"/>
      <c r="EE28" s="108"/>
      <c r="EF28" s="108"/>
      <c r="EG28" s="108"/>
      <c r="EH28" s="108"/>
      <c r="EI28" s="108"/>
      <c r="EJ28" s="108"/>
      <c r="EK28" s="108"/>
      <c r="EL28" s="108"/>
      <c r="EM28" s="108"/>
      <c r="EN28" s="108"/>
      <c r="EO28" s="108"/>
      <c r="EP28" s="108"/>
      <c r="EQ28" s="108"/>
      <c r="ER28" s="108"/>
      <c r="ES28" s="108"/>
      <c r="ET28" s="108"/>
      <c r="EU28" s="108"/>
      <c r="EV28" s="108"/>
      <c r="EW28" s="108"/>
      <c r="EX28" s="108"/>
      <c r="EY28" s="108"/>
      <c r="EZ28" s="108"/>
      <c r="FA28" s="108"/>
      <c r="FB28" s="108"/>
      <c r="FC28" s="108"/>
      <c r="FD28" s="108"/>
      <c r="FE28" s="108"/>
      <c r="FF28" s="108"/>
      <c r="FG28" s="108"/>
      <c r="FH28" s="108"/>
      <c r="FI28" s="108"/>
      <c r="FJ28" s="108"/>
      <c r="FK28" s="108"/>
      <c r="FL28" s="108"/>
      <c r="FM28" s="108"/>
      <c r="FN28" s="108"/>
      <c r="FO28" s="108"/>
      <c r="FP28" s="108"/>
      <c r="FQ28" s="108"/>
      <c r="FR28" s="108"/>
      <c r="FS28" s="108"/>
      <c r="FT28" s="108"/>
      <c r="FU28" s="108"/>
      <c r="FV28" s="108"/>
      <c r="FW28" s="108"/>
      <c r="FX28" s="108"/>
      <c r="FY28" s="108"/>
      <c r="FZ28" s="108"/>
      <c r="GA28" s="108"/>
      <c r="GB28" s="108"/>
      <c r="GC28" s="108"/>
      <c r="GD28" s="108"/>
      <c r="GE28" s="108"/>
      <c r="GF28" s="108"/>
      <c r="GG28" s="108"/>
      <c r="GH28" s="108"/>
      <c r="GI28" s="108"/>
      <c r="GJ28" s="108"/>
      <c r="GK28" s="108"/>
      <c r="GL28" s="108"/>
      <c r="GM28" s="108"/>
      <c r="GN28" s="108"/>
      <c r="GO28" s="108"/>
      <c r="GP28" s="108"/>
      <c r="GQ28" s="108"/>
      <c r="GR28" s="108"/>
      <c r="GS28" s="108"/>
      <c r="GT28" s="108"/>
      <c r="GU28" s="108"/>
      <c r="GV28" s="108"/>
      <c r="GW28" s="108"/>
      <c r="GX28" s="108"/>
      <c r="GY28" s="108"/>
      <c r="GZ28" s="108"/>
      <c r="HA28" s="108"/>
      <c r="HB28" s="108"/>
      <c r="HC28" s="108"/>
      <c r="HD28" s="108"/>
      <c r="HE28" s="108"/>
      <c r="HF28" s="108"/>
      <c r="HG28" s="108"/>
      <c r="HH28" s="108"/>
      <c r="HI28" s="108"/>
      <c r="HJ28" s="108"/>
      <c r="HK28" s="108"/>
      <c r="HL28" s="108"/>
      <c r="HM28" s="108"/>
      <c r="HN28" s="108"/>
      <c r="HO28" s="108"/>
      <c r="HP28" s="108"/>
      <c r="HQ28" s="108"/>
      <c r="HR28" s="108"/>
      <c r="HS28" s="108"/>
      <c r="HT28" s="108"/>
      <c r="HU28" s="108"/>
      <c r="HV28" s="108"/>
      <c r="HW28" s="108"/>
      <c r="HX28" s="108"/>
      <c r="HY28" s="108"/>
      <c r="HZ28" s="108"/>
      <c r="IA28" s="108"/>
      <c r="IB28" s="108"/>
      <c r="IC28" s="108"/>
      <c r="ID28" s="108"/>
      <c r="IE28" s="108"/>
      <c r="IF28" s="108"/>
      <c r="IG28" s="108"/>
      <c r="IH28" s="108"/>
      <c r="II28" s="108"/>
      <c r="IJ28" s="108"/>
      <c r="IK28" s="108"/>
      <c r="IL28" s="108"/>
      <c r="IM28" s="108"/>
      <c r="IN28" s="108"/>
      <c r="IO28" s="108"/>
      <c r="IP28" s="108"/>
      <c r="IQ28" s="108"/>
      <c r="IR28" s="108"/>
      <c r="IS28" s="108"/>
      <c r="IT28" s="108"/>
      <c r="IU28" s="108"/>
      <c r="IV28" s="108"/>
    </row>
    <row r="29" spans="1:256" s="107" customFormat="1" ht="15" customHeight="1" x14ac:dyDescent="0.2">
      <c r="A29" s="466" t="s">
        <v>496</v>
      </c>
      <c r="B29" s="467"/>
      <c r="C29" s="467"/>
      <c r="D29" s="467"/>
      <c r="E29" s="467"/>
      <c r="F29" s="467"/>
      <c r="G29" s="467"/>
      <c r="H29" s="467"/>
      <c r="I29" s="467"/>
      <c r="J29" s="467"/>
      <c r="K29" s="208"/>
      <c r="L29" s="169"/>
    </row>
    <row r="30" spans="1:256" s="107" customFormat="1" ht="5.0999999999999996" customHeight="1" x14ac:dyDescent="0.2">
      <c r="A30" s="452"/>
      <c r="B30" s="453"/>
      <c r="C30" s="453"/>
      <c r="D30" s="453"/>
      <c r="E30" s="453"/>
      <c r="F30" s="453"/>
      <c r="G30" s="453"/>
      <c r="H30" s="453"/>
      <c r="I30" s="453"/>
      <c r="J30" s="454"/>
      <c r="K30" s="207"/>
      <c r="L30" s="31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c r="BA30" s="108"/>
      <c r="BB30" s="108"/>
      <c r="BC30" s="108"/>
      <c r="BD30" s="108"/>
      <c r="BE30" s="108"/>
      <c r="BF30" s="108"/>
      <c r="BG30" s="108"/>
      <c r="BH30" s="108"/>
      <c r="BI30" s="108"/>
      <c r="BJ30" s="108"/>
      <c r="BK30" s="108"/>
      <c r="BL30" s="108"/>
      <c r="BM30" s="108"/>
      <c r="BN30" s="108"/>
      <c r="BO30" s="108"/>
      <c r="BP30" s="108"/>
      <c r="BQ30" s="108"/>
      <c r="BR30" s="108"/>
      <c r="BS30" s="108"/>
      <c r="BT30" s="108"/>
      <c r="BU30" s="108"/>
      <c r="BV30" s="108"/>
      <c r="BW30" s="108"/>
      <c r="BX30" s="108"/>
      <c r="BY30" s="108"/>
      <c r="BZ30" s="108"/>
      <c r="CA30" s="108"/>
      <c r="CB30" s="108"/>
      <c r="CC30" s="108"/>
      <c r="CD30" s="108"/>
      <c r="CE30" s="108"/>
      <c r="CF30" s="108"/>
      <c r="CG30" s="108"/>
      <c r="CH30" s="108"/>
      <c r="CI30" s="108"/>
      <c r="CJ30" s="108"/>
      <c r="CK30" s="108"/>
      <c r="CL30" s="108"/>
      <c r="CM30" s="108"/>
      <c r="CN30" s="108"/>
      <c r="CO30" s="108"/>
      <c r="CP30" s="108"/>
      <c r="CQ30" s="108"/>
      <c r="CR30" s="108"/>
      <c r="CS30" s="108"/>
      <c r="CT30" s="108"/>
      <c r="CU30" s="108"/>
      <c r="CV30" s="108"/>
      <c r="CW30" s="108"/>
      <c r="CX30" s="108"/>
      <c r="CY30" s="108"/>
      <c r="CZ30" s="108"/>
      <c r="DA30" s="108"/>
      <c r="DB30" s="108"/>
      <c r="DC30" s="108"/>
      <c r="DD30" s="108"/>
      <c r="DE30" s="108"/>
      <c r="DF30" s="108"/>
      <c r="DG30" s="108"/>
      <c r="DH30" s="108"/>
      <c r="DI30" s="108"/>
      <c r="DJ30" s="108"/>
      <c r="DK30" s="108"/>
      <c r="DL30" s="108"/>
      <c r="DM30" s="108"/>
      <c r="DN30" s="108"/>
      <c r="DO30" s="108"/>
      <c r="DP30" s="108"/>
      <c r="DQ30" s="108"/>
      <c r="DR30" s="108"/>
      <c r="DS30" s="108"/>
      <c r="DT30" s="108"/>
      <c r="DU30" s="108"/>
      <c r="DV30" s="108"/>
      <c r="DW30" s="108"/>
      <c r="DX30" s="108"/>
      <c r="DY30" s="108"/>
      <c r="DZ30" s="108"/>
      <c r="EA30" s="108"/>
      <c r="EB30" s="108"/>
      <c r="EC30" s="108"/>
      <c r="ED30" s="108"/>
      <c r="EE30" s="108"/>
      <c r="EF30" s="108"/>
      <c r="EG30" s="108"/>
      <c r="EH30" s="108"/>
      <c r="EI30" s="108"/>
      <c r="EJ30" s="108"/>
      <c r="EK30" s="108"/>
      <c r="EL30" s="108"/>
      <c r="EM30" s="108"/>
      <c r="EN30" s="108"/>
      <c r="EO30" s="108"/>
      <c r="EP30" s="108"/>
      <c r="EQ30" s="108"/>
      <c r="ER30" s="108"/>
      <c r="ES30" s="108"/>
      <c r="ET30" s="108"/>
      <c r="EU30" s="108"/>
      <c r="EV30" s="108"/>
      <c r="EW30" s="108"/>
      <c r="EX30" s="108"/>
      <c r="EY30" s="108"/>
      <c r="EZ30" s="108"/>
      <c r="FA30" s="108"/>
      <c r="FB30" s="108"/>
      <c r="FC30" s="108"/>
      <c r="FD30" s="108"/>
      <c r="FE30" s="108"/>
      <c r="FF30" s="108"/>
      <c r="FG30" s="108"/>
      <c r="FH30" s="108"/>
      <c r="FI30" s="108"/>
      <c r="FJ30" s="108"/>
      <c r="FK30" s="108"/>
      <c r="FL30" s="108"/>
      <c r="FM30" s="108"/>
      <c r="FN30" s="108"/>
      <c r="FO30" s="108"/>
      <c r="FP30" s="108"/>
      <c r="FQ30" s="108"/>
      <c r="FR30" s="108"/>
      <c r="FS30" s="108"/>
      <c r="FT30" s="108"/>
      <c r="FU30" s="108"/>
      <c r="FV30" s="108"/>
      <c r="FW30" s="108"/>
      <c r="FX30" s="108"/>
      <c r="FY30" s="108"/>
      <c r="FZ30" s="108"/>
      <c r="GA30" s="108"/>
      <c r="GB30" s="108"/>
      <c r="GC30" s="108"/>
      <c r="GD30" s="108"/>
      <c r="GE30" s="108"/>
      <c r="GF30" s="108"/>
      <c r="GG30" s="108"/>
      <c r="GH30" s="108"/>
      <c r="GI30" s="108"/>
      <c r="GJ30" s="108"/>
      <c r="GK30" s="108"/>
      <c r="GL30" s="108"/>
      <c r="GM30" s="108"/>
      <c r="GN30" s="108"/>
      <c r="GO30" s="108"/>
      <c r="GP30" s="108"/>
      <c r="GQ30" s="108"/>
      <c r="GR30" s="108"/>
      <c r="GS30" s="108"/>
      <c r="GT30" s="108"/>
      <c r="GU30" s="108"/>
      <c r="GV30" s="108"/>
      <c r="GW30" s="108"/>
      <c r="GX30" s="108"/>
      <c r="GY30" s="108"/>
      <c r="GZ30" s="108"/>
      <c r="HA30" s="108"/>
      <c r="HB30" s="108"/>
      <c r="HC30" s="108"/>
      <c r="HD30" s="108"/>
      <c r="HE30" s="108"/>
      <c r="HF30" s="108"/>
      <c r="HG30" s="108"/>
      <c r="HH30" s="108"/>
      <c r="HI30" s="108"/>
      <c r="HJ30" s="108"/>
      <c r="HK30" s="108"/>
      <c r="HL30" s="108"/>
      <c r="HM30" s="108"/>
      <c r="HN30" s="108"/>
      <c r="HO30" s="108"/>
      <c r="HP30" s="108"/>
      <c r="HQ30" s="108"/>
      <c r="HR30" s="108"/>
      <c r="HS30" s="108"/>
      <c r="HT30" s="108"/>
      <c r="HU30" s="108"/>
      <c r="HV30" s="108"/>
      <c r="HW30" s="108"/>
      <c r="HX30" s="108"/>
      <c r="HY30" s="108"/>
      <c r="HZ30" s="108"/>
      <c r="IA30" s="108"/>
      <c r="IB30" s="108"/>
      <c r="IC30" s="108"/>
      <c r="ID30" s="108"/>
      <c r="IE30" s="108"/>
      <c r="IF30" s="108"/>
      <c r="IG30" s="108"/>
      <c r="IH30" s="108"/>
      <c r="II30" s="108"/>
      <c r="IJ30" s="108"/>
      <c r="IK30" s="108"/>
      <c r="IL30" s="108"/>
      <c r="IM30" s="108"/>
      <c r="IN30" s="108"/>
      <c r="IO30" s="108"/>
      <c r="IP30" s="108"/>
      <c r="IQ30" s="108"/>
      <c r="IR30" s="108"/>
      <c r="IS30" s="108"/>
      <c r="IT30" s="108"/>
      <c r="IU30" s="108"/>
      <c r="IV30" s="108"/>
    </row>
    <row r="31" spans="1:256" s="107" customFormat="1" ht="15" customHeight="1" x14ac:dyDescent="0.2">
      <c r="A31" s="468" t="s">
        <v>131</v>
      </c>
      <c r="B31" s="468"/>
      <c r="C31" s="468"/>
      <c r="D31" s="468"/>
      <c r="E31" s="468"/>
      <c r="F31" s="468"/>
      <c r="G31" s="468"/>
      <c r="H31" s="468"/>
      <c r="I31" s="468"/>
      <c r="J31" s="143">
        <f ca="1">J25</f>
        <v>1167819.0161644132</v>
      </c>
      <c r="K31" s="184"/>
      <c r="L31" s="176" t="e">
        <f ca="1">#REF!*L28</f>
        <v>#REF!</v>
      </c>
    </row>
    <row r="32" spans="1:256" s="107" customFormat="1" ht="15" customHeight="1" x14ac:dyDescent="0.2">
      <c r="A32" s="466" t="s">
        <v>497</v>
      </c>
      <c r="B32" s="467"/>
      <c r="C32" s="467"/>
      <c r="D32" s="467"/>
      <c r="E32" s="467"/>
      <c r="F32" s="467"/>
      <c r="G32" s="467"/>
      <c r="H32" s="467"/>
      <c r="I32" s="467"/>
      <c r="J32" s="469"/>
      <c r="K32" s="211"/>
      <c r="L32" s="169"/>
    </row>
    <row r="33" spans="1:256" s="107" customFormat="1" ht="5.0999999999999996" customHeight="1" x14ac:dyDescent="0.2">
      <c r="A33" s="452"/>
      <c r="B33" s="453"/>
      <c r="C33" s="453"/>
      <c r="D33" s="453"/>
      <c r="E33" s="453"/>
      <c r="F33" s="453"/>
      <c r="G33" s="453"/>
      <c r="H33" s="453"/>
      <c r="I33" s="453"/>
      <c r="J33" s="454"/>
      <c r="K33" s="207"/>
      <c r="L33" s="31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8"/>
      <c r="BM33" s="108"/>
      <c r="BN33" s="108"/>
      <c r="BO33" s="108"/>
      <c r="BP33" s="108"/>
      <c r="BQ33" s="108"/>
      <c r="BR33" s="108"/>
      <c r="BS33" s="108"/>
      <c r="BT33" s="108"/>
      <c r="BU33" s="108"/>
      <c r="BV33" s="108"/>
      <c r="BW33" s="108"/>
      <c r="BX33" s="108"/>
      <c r="BY33" s="108"/>
      <c r="BZ33" s="108"/>
      <c r="CA33" s="108"/>
      <c r="CB33" s="108"/>
      <c r="CC33" s="108"/>
      <c r="CD33" s="108"/>
      <c r="CE33" s="108"/>
      <c r="CF33" s="108"/>
      <c r="CG33" s="108"/>
      <c r="CH33" s="108"/>
      <c r="CI33" s="108"/>
      <c r="CJ33" s="108"/>
      <c r="CK33" s="108"/>
      <c r="CL33" s="108"/>
      <c r="CM33" s="108"/>
      <c r="CN33" s="108"/>
      <c r="CO33" s="108"/>
      <c r="CP33" s="108"/>
      <c r="CQ33" s="108"/>
      <c r="CR33" s="108"/>
      <c r="CS33" s="108"/>
      <c r="CT33" s="108"/>
      <c r="CU33" s="108"/>
      <c r="CV33" s="108"/>
      <c r="CW33" s="108"/>
      <c r="CX33" s="108"/>
      <c r="CY33" s="108"/>
      <c r="CZ33" s="108"/>
      <c r="DA33" s="108"/>
      <c r="DB33" s="108"/>
      <c r="DC33" s="108"/>
      <c r="DD33" s="108"/>
      <c r="DE33" s="108"/>
      <c r="DF33" s="108"/>
      <c r="DG33" s="108"/>
      <c r="DH33" s="108"/>
      <c r="DI33" s="108"/>
      <c r="DJ33" s="108"/>
      <c r="DK33" s="108"/>
      <c r="DL33" s="108"/>
      <c r="DM33" s="108"/>
      <c r="DN33" s="108"/>
      <c r="DO33" s="108"/>
      <c r="DP33" s="108"/>
      <c r="DQ33" s="108"/>
      <c r="DR33" s="108"/>
      <c r="DS33" s="108"/>
      <c r="DT33" s="108"/>
      <c r="DU33" s="108"/>
      <c r="DV33" s="108"/>
      <c r="DW33" s="108"/>
      <c r="DX33" s="108"/>
      <c r="DY33" s="108"/>
      <c r="DZ33" s="108"/>
      <c r="EA33" s="108"/>
      <c r="EB33" s="108"/>
      <c r="EC33" s="108"/>
      <c r="ED33" s="108"/>
      <c r="EE33" s="108"/>
      <c r="EF33" s="108"/>
      <c r="EG33" s="108"/>
      <c r="EH33" s="108"/>
      <c r="EI33" s="108"/>
      <c r="EJ33" s="108"/>
      <c r="EK33" s="108"/>
      <c r="EL33" s="108"/>
      <c r="EM33" s="108"/>
      <c r="EN33" s="108"/>
      <c r="EO33" s="108"/>
      <c r="EP33" s="108"/>
      <c r="EQ33" s="108"/>
      <c r="ER33" s="108"/>
      <c r="ES33" s="108"/>
      <c r="ET33" s="108"/>
      <c r="EU33" s="108"/>
      <c r="EV33" s="108"/>
      <c r="EW33" s="108"/>
      <c r="EX33" s="108"/>
      <c r="EY33" s="108"/>
      <c r="EZ33" s="108"/>
      <c r="FA33" s="108"/>
      <c r="FB33" s="108"/>
      <c r="FC33" s="108"/>
      <c r="FD33" s="108"/>
      <c r="FE33" s="108"/>
      <c r="FF33" s="108"/>
      <c r="FG33" s="108"/>
      <c r="FH33" s="108"/>
      <c r="FI33" s="108"/>
      <c r="FJ33" s="108"/>
      <c r="FK33" s="108"/>
      <c r="FL33" s="108"/>
      <c r="FM33" s="108"/>
      <c r="FN33" s="108"/>
      <c r="FO33" s="108"/>
      <c r="FP33" s="108"/>
      <c r="FQ33" s="108"/>
      <c r="FR33" s="108"/>
      <c r="FS33" s="108"/>
      <c r="FT33" s="108"/>
      <c r="FU33" s="108"/>
      <c r="FV33" s="108"/>
      <c r="FW33" s="108"/>
      <c r="FX33" s="108"/>
      <c r="FY33" s="108"/>
      <c r="FZ33" s="108"/>
      <c r="GA33" s="108"/>
      <c r="GB33" s="108"/>
      <c r="GC33" s="108"/>
      <c r="GD33" s="108"/>
      <c r="GE33" s="108"/>
      <c r="GF33" s="108"/>
      <c r="GG33" s="108"/>
      <c r="GH33" s="108"/>
      <c r="GI33" s="108"/>
      <c r="GJ33" s="108"/>
      <c r="GK33" s="108"/>
      <c r="GL33" s="108"/>
      <c r="GM33" s="108"/>
      <c r="GN33" s="108"/>
      <c r="GO33" s="108"/>
      <c r="GP33" s="108"/>
      <c r="GQ33" s="108"/>
      <c r="GR33" s="108"/>
      <c r="GS33" s="108"/>
      <c r="GT33" s="108"/>
      <c r="GU33" s="108"/>
      <c r="GV33" s="108"/>
      <c r="GW33" s="108"/>
      <c r="GX33" s="108"/>
      <c r="GY33" s="108"/>
      <c r="GZ33" s="108"/>
      <c r="HA33" s="108"/>
      <c r="HB33" s="108"/>
      <c r="HC33" s="108"/>
      <c r="HD33" s="108"/>
      <c r="HE33" s="108"/>
      <c r="HF33" s="108"/>
      <c r="HG33" s="108"/>
      <c r="HH33" s="108"/>
      <c r="HI33" s="108"/>
      <c r="HJ33" s="108"/>
      <c r="HK33" s="108"/>
      <c r="HL33" s="108"/>
      <c r="HM33" s="108"/>
      <c r="HN33" s="108"/>
      <c r="HO33" s="108"/>
      <c r="HP33" s="108"/>
      <c r="HQ33" s="108"/>
      <c r="HR33" s="108"/>
      <c r="HS33" s="108"/>
      <c r="HT33" s="108"/>
      <c r="HU33" s="108"/>
      <c r="HV33" s="108"/>
      <c r="HW33" s="108"/>
      <c r="HX33" s="108"/>
      <c r="HY33" s="108"/>
      <c r="HZ33" s="108"/>
      <c r="IA33" s="108"/>
      <c r="IB33" s="108"/>
      <c r="IC33" s="108"/>
      <c r="ID33" s="108"/>
      <c r="IE33" s="108"/>
      <c r="IF33" s="108"/>
      <c r="IG33" s="108"/>
      <c r="IH33" s="108"/>
      <c r="II33" s="108"/>
      <c r="IJ33" s="108"/>
      <c r="IK33" s="108"/>
      <c r="IL33" s="108"/>
      <c r="IM33" s="108"/>
      <c r="IN33" s="108"/>
      <c r="IO33" s="108"/>
      <c r="IP33" s="108"/>
      <c r="IQ33" s="108"/>
      <c r="IR33" s="108"/>
      <c r="IS33" s="108"/>
      <c r="IT33" s="108"/>
      <c r="IU33" s="108"/>
      <c r="IV33" s="108"/>
    </row>
    <row r="34" spans="1:256" s="107" customFormat="1" ht="15" customHeight="1" x14ac:dyDescent="0.2">
      <c r="A34" s="468" t="s">
        <v>461</v>
      </c>
      <c r="B34" s="468"/>
      <c r="C34" s="468"/>
      <c r="D34" s="468"/>
      <c r="E34" s="468"/>
      <c r="F34" s="468"/>
      <c r="G34" s="468"/>
      <c r="H34" s="468"/>
      <c r="I34" s="468"/>
      <c r="J34" s="143">
        <v>994586.38</v>
      </c>
      <c r="K34" s="184"/>
      <c r="L34" s="176" t="e">
        <f ca="1">#REF!*L31</f>
        <v>#REF!</v>
      </c>
      <c r="M34" s="142">
        <f>J34/12</f>
        <v>82882.198333333334</v>
      </c>
    </row>
    <row r="35" spans="1:256" s="107" customFormat="1" ht="15" customHeight="1" x14ac:dyDescent="0.2">
      <c r="A35" s="466" t="s">
        <v>495</v>
      </c>
      <c r="B35" s="467"/>
      <c r="C35" s="467"/>
      <c r="D35" s="467"/>
      <c r="E35" s="467"/>
      <c r="F35" s="467"/>
      <c r="G35" s="467"/>
      <c r="H35" s="467"/>
      <c r="I35" s="467"/>
      <c r="J35" s="469"/>
      <c r="K35" s="211"/>
      <c r="L35" s="169"/>
    </row>
    <row r="36" spans="1:256" s="107" customFormat="1" ht="5.0999999999999996" customHeight="1" x14ac:dyDescent="0.2">
      <c r="A36" s="452"/>
      <c r="B36" s="453"/>
      <c r="C36" s="453"/>
      <c r="D36" s="453"/>
      <c r="E36" s="453"/>
      <c r="F36" s="453"/>
      <c r="G36" s="453"/>
      <c r="H36" s="453"/>
      <c r="I36" s="453"/>
      <c r="J36" s="454"/>
      <c r="K36" s="207"/>
      <c r="L36" s="31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c r="BM36" s="108"/>
      <c r="BN36" s="108"/>
      <c r="BO36" s="108"/>
      <c r="BP36" s="108"/>
      <c r="BQ36" s="108"/>
      <c r="BR36" s="108"/>
      <c r="BS36" s="108"/>
      <c r="BT36" s="108"/>
      <c r="BU36" s="108"/>
      <c r="BV36" s="108"/>
      <c r="BW36" s="108"/>
      <c r="BX36" s="108"/>
      <c r="BY36" s="108"/>
      <c r="BZ36" s="108"/>
      <c r="CA36" s="108"/>
      <c r="CB36" s="108"/>
      <c r="CC36" s="108"/>
      <c r="CD36" s="108"/>
      <c r="CE36" s="108"/>
      <c r="CF36" s="108"/>
      <c r="CG36" s="108"/>
      <c r="CH36" s="108"/>
      <c r="CI36" s="108"/>
      <c r="CJ36" s="108"/>
      <c r="CK36" s="108"/>
      <c r="CL36" s="108"/>
      <c r="CM36" s="108"/>
      <c r="CN36" s="108"/>
      <c r="CO36" s="108"/>
      <c r="CP36" s="108"/>
      <c r="CQ36" s="108"/>
      <c r="CR36" s="108"/>
      <c r="CS36" s="108"/>
      <c r="CT36" s="108"/>
      <c r="CU36" s="108"/>
      <c r="CV36" s="108"/>
      <c r="CW36" s="108"/>
      <c r="CX36" s="108"/>
      <c r="CY36" s="108"/>
      <c r="CZ36" s="108"/>
      <c r="DA36" s="108"/>
      <c r="DB36" s="108"/>
      <c r="DC36" s="108"/>
      <c r="DD36" s="108"/>
      <c r="DE36" s="108"/>
      <c r="DF36" s="108"/>
      <c r="DG36" s="108"/>
      <c r="DH36" s="108"/>
      <c r="DI36" s="108"/>
      <c r="DJ36" s="108"/>
      <c r="DK36" s="108"/>
      <c r="DL36" s="108"/>
      <c r="DM36" s="108"/>
      <c r="DN36" s="108"/>
      <c r="DO36" s="108"/>
      <c r="DP36" s="108"/>
      <c r="DQ36" s="108"/>
      <c r="DR36" s="108"/>
      <c r="DS36" s="108"/>
      <c r="DT36" s="108"/>
      <c r="DU36" s="108"/>
      <c r="DV36" s="108"/>
      <c r="DW36" s="108"/>
      <c r="DX36" s="108"/>
      <c r="DY36" s="108"/>
      <c r="DZ36" s="108"/>
      <c r="EA36" s="108"/>
      <c r="EB36" s="108"/>
      <c r="EC36" s="108"/>
      <c r="ED36" s="108"/>
      <c r="EE36" s="108"/>
      <c r="EF36" s="108"/>
      <c r="EG36" s="108"/>
      <c r="EH36" s="108"/>
      <c r="EI36" s="108"/>
      <c r="EJ36" s="108"/>
      <c r="EK36" s="108"/>
      <c r="EL36" s="108"/>
      <c r="EM36" s="108"/>
      <c r="EN36" s="108"/>
      <c r="EO36" s="108"/>
      <c r="EP36" s="108"/>
      <c r="EQ36" s="108"/>
      <c r="ER36" s="108"/>
      <c r="ES36" s="108"/>
      <c r="ET36" s="108"/>
      <c r="EU36" s="108"/>
      <c r="EV36" s="108"/>
      <c r="EW36" s="108"/>
      <c r="EX36" s="108"/>
      <c r="EY36" s="108"/>
      <c r="EZ36" s="108"/>
      <c r="FA36" s="108"/>
      <c r="FB36" s="108"/>
      <c r="FC36" s="108"/>
      <c r="FD36" s="108"/>
      <c r="FE36" s="108"/>
      <c r="FF36" s="108"/>
      <c r="FG36" s="108"/>
      <c r="FH36" s="108"/>
      <c r="FI36" s="108"/>
      <c r="FJ36" s="108"/>
      <c r="FK36" s="108"/>
      <c r="FL36" s="108"/>
      <c r="FM36" s="108"/>
      <c r="FN36" s="108"/>
      <c r="FO36" s="108"/>
      <c r="FP36" s="108"/>
      <c r="FQ36" s="108"/>
      <c r="FR36" s="108"/>
      <c r="FS36" s="108"/>
      <c r="FT36" s="108"/>
      <c r="FU36" s="108"/>
      <c r="FV36" s="108"/>
      <c r="FW36" s="108"/>
      <c r="FX36" s="108"/>
      <c r="FY36" s="108"/>
      <c r="FZ36" s="108"/>
      <c r="GA36" s="108"/>
      <c r="GB36" s="108"/>
      <c r="GC36" s="108"/>
      <c r="GD36" s="108"/>
      <c r="GE36" s="108"/>
      <c r="GF36" s="108"/>
      <c r="GG36" s="108"/>
      <c r="GH36" s="108"/>
      <c r="GI36" s="108"/>
      <c r="GJ36" s="108"/>
      <c r="GK36" s="108"/>
      <c r="GL36" s="108"/>
      <c r="GM36" s="108"/>
      <c r="GN36" s="108"/>
      <c r="GO36" s="108"/>
      <c r="GP36" s="108"/>
      <c r="GQ36" s="108"/>
      <c r="GR36" s="108"/>
      <c r="GS36" s="108"/>
      <c r="GT36" s="108"/>
      <c r="GU36" s="108"/>
      <c r="GV36" s="108"/>
      <c r="GW36" s="108"/>
      <c r="GX36" s="108"/>
      <c r="GY36" s="108"/>
      <c r="GZ36" s="108"/>
      <c r="HA36" s="108"/>
      <c r="HB36" s="108"/>
      <c r="HC36" s="108"/>
      <c r="HD36" s="108"/>
      <c r="HE36" s="108"/>
      <c r="HF36" s="108"/>
      <c r="HG36" s="108"/>
      <c r="HH36" s="108"/>
      <c r="HI36" s="108"/>
      <c r="HJ36" s="108"/>
      <c r="HK36" s="108"/>
      <c r="HL36" s="108"/>
      <c r="HM36" s="108"/>
      <c r="HN36" s="108"/>
      <c r="HO36" s="108"/>
      <c r="HP36" s="108"/>
      <c r="HQ36" s="108"/>
      <c r="HR36" s="108"/>
      <c r="HS36" s="108"/>
      <c r="HT36" s="108"/>
      <c r="HU36" s="108"/>
      <c r="HV36" s="108"/>
      <c r="HW36" s="108"/>
      <c r="HX36" s="108"/>
      <c r="HY36" s="108"/>
      <c r="HZ36" s="108"/>
      <c r="IA36" s="108"/>
      <c r="IB36" s="108"/>
      <c r="IC36" s="108"/>
      <c r="ID36" s="108"/>
      <c r="IE36" s="108"/>
      <c r="IF36" s="108"/>
      <c r="IG36" s="108"/>
      <c r="IH36" s="108"/>
      <c r="II36" s="108"/>
      <c r="IJ36" s="108"/>
      <c r="IK36" s="108"/>
      <c r="IL36" s="108"/>
      <c r="IM36" s="108"/>
      <c r="IN36" s="108"/>
      <c r="IO36" s="108"/>
      <c r="IP36" s="108"/>
      <c r="IQ36" s="108"/>
      <c r="IR36" s="108"/>
      <c r="IS36" s="108"/>
      <c r="IT36" s="108"/>
      <c r="IU36" s="108"/>
      <c r="IV36" s="108"/>
    </row>
    <row r="37" spans="1:256" s="107" customFormat="1" ht="15" customHeight="1" x14ac:dyDescent="0.2">
      <c r="A37" s="468" t="s">
        <v>462</v>
      </c>
      <c r="B37" s="468"/>
      <c r="C37" s="468"/>
      <c r="D37" s="468"/>
      <c r="E37" s="468"/>
      <c r="F37" s="468"/>
      <c r="G37" s="468"/>
      <c r="H37" s="468"/>
      <c r="I37" s="468"/>
      <c r="J37" s="143">
        <f ca="1">J34-J31</f>
        <v>-173232.63616441318</v>
      </c>
      <c r="K37" s="184"/>
      <c r="L37" s="176" t="e">
        <f ca="1">#REF!*L34</f>
        <v>#REF!</v>
      </c>
    </row>
    <row r="38" spans="1:256" s="107" customFormat="1" ht="15" customHeight="1" x14ac:dyDescent="0.2">
      <c r="A38" s="466" t="s">
        <v>498</v>
      </c>
      <c r="B38" s="467"/>
      <c r="C38" s="467"/>
      <c r="D38" s="467"/>
      <c r="E38" s="467"/>
      <c r="F38" s="467"/>
      <c r="G38" s="467"/>
      <c r="H38" s="467"/>
      <c r="I38" s="467"/>
      <c r="J38" s="469"/>
      <c r="K38" s="211"/>
      <c r="L38" s="169"/>
    </row>
    <row r="39" spans="1:256" s="107" customFormat="1" ht="5.0999999999999996" customHeight="1" x14ac:dyDescent="0.2">
      <c r="A39" s="452"/>
      <c r="B39" s="453"/>
      <c r="C39" s="453"/>
      <c r="D39" s="453"/>
      <c r="E39" s="453"/>
      <c r="F39" s="453"/>
      <c r="G39" s="453"/>
      <c r="H39" s="453"/>
      <c r="I39" s="453"/>
      <c r="J39" s="454"/>
      <c r="K39" s="207"/>
      <c r="L39" s="31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08"/>
      <c r="AS39" s="108"/>
      <c r="AT39" s="108"/>
      <c r="AU39" s="108"/>
      <c r="AV39" s="108"/>
      <c r="AW39" s="108"/>
      <c r="AX39" s="108"/>
      <c r="AY39" s="108"/>
      <c r="AZ39" s="108"/>
      <c r="BA39" s="108"/>
      <c r="BB39" s="108"/>
      <c r="BC39" s="108"/>
      <c r="BD39" s="108"/>
      <c r="BE39" s="108"/>
      <c r="BF39" s="108"/>
      <c r="BG39" s="108"/>
      <c r="BH39" s="108"/>
      <c r="BI39" s="108"/>
      <c r="BJ39" s="108"/>
      <c r="BK39" s="108"/>
      <c r="BL39" s="108"/>
      <c r="BM39" s="108"/>
      <c r="BN39" s="108"/>
      <c r="BO39" s="108"/>
      <c r="BP39" s="108"/>
      <c r="BQ39" s="108"/>
      <c r="BR39" s="108"/>
      <c r="BS39" s="108"/>
      <c r="BT39" s="108"/>
      <c r="BU39" s="108"/>
      <c r="BV39" s="108"/>
      <c r="BW39" s="108"/>
      <c r="BX39" s="108"/>
      <c r="BY39" s="108"/>
      <c r="BZ39" s="108"/>
      <c r="CA39" s="108"/>
      <c r="CB39" s="108"/>
      <c r="CC39" s="108"/>
      <c r="CD39" s="108"/>
      <c r="CE39" s="108"/>
      <c r="CF39" s="108"/>
      <c r="CG39" s="108"/>
      <c r="CH39" s="108"/>
      <c r="CI39" s="108"/>
      <c r="CJ39" s="108"/>
      <c r="CK39" s="108"/>
      <c r="CL39" s="108"/>
      <c r="CM39" s="108"/>
      <c r="CN39" s="108"/>
      <c r="CO39" s="108"/>
      <c r="CP39" s="108"/>
      <c r="CQ39" s="108"/>
      <c r="CR39" s="108"/>
      <c r="CS39" s="108"/>
      <c r="CT39" s="108"/>
      <c r="CU39" s="108"/>
      <c r="CV39" s="108"/>
      <c r="CW39" s="108"/>
      <c r="CX39" s="108"/>
      <c r="CY39" s="108"/>
      <c r="CZ39" s="108"/>
      <c r="DA39" s="108"/>
      <c r="DB39" s="108"/>
      <c r="DC39" s="108"/>
      <c r="DD39" s="108"/>
      <c r="DE39" s="108"/>
      <c r="DF39" s="108"/>
      <c r="DG39" s="108"/>
      <c r="DH39" s="108"/>
      <c r="DI39" s="108"/>
      <c r="DJ39" s="108"/>
      <c r="DK39" s="108"/>
      <c r="DL39" s="108"/>
      <c r="DM39" s="108"/>
      <c r="DN39" s="108"/>
      <c r="DO39" s="108"/>
      <c r="DP39" s="108"/>
      <c r="DQ39" s="108"/>
      <c r="DR39" s="108"/>
      <c r="DS39" s="108"/>
      <c r="DT39" s="108"/>
      <c r="DU39" s="108"/>
      <c r="DV39" s="108"/>
      <c r="DW39" s="108"/>
      <c r="DX39" s="108"/>
      <c r="DY39" s="108"/>
      <c r="DZ39" s="108"/>
      <c r="EA39" s="108"/>
      <c r="EB39" s="108"/>
      <c r="EC39" s="108"/>
      <c r="ED39" s="108"/>
      <c r="EE39" s="108"/>
      <c r="EF39" s="108"/>
      <c r="EG39" s="108"/>
      <c r="EH39" s="108"/>
      <c r="EI39" s="108"/>
      <c r="EJ39" s="108"/>
      <c r="EK39" s="108"/>
      <c r="EL39" s="108"/>
      <c r="EM39" s="108"/>
      <c r="EN39" s="108"/>
      <c r="EO39" s="108"/>
      <c r="EP39" s="108"/>
      <c r="EQ39" s="108"/>
      <c r="ER39" s="108"/>
      <c r="ES39" s="108"/>
      <c r="ET39" s="108"/>
      <c r="EU39" s="108"/>
      <c r="EV39" s="108"/>
      <c r="EW39" s="108"/>
      <c r="EX39" s="108"/>
      <c r="EY39" s="108"/>
      <c r="EZ39" s="108"/>
      <c r="FA39" s="108"/>
      <c r="FB39" s="108"/>
      <c r="FC39" s="108"/>
      <c r="FD39" s="108"/>
      <c r="FE39" s="108"/>
      <c r="FF39" s="108"/>
      <c r="FG39" s="108"/>
      <c r="FH39" s="108"/>
      <c r="FI39" s="108"/>
      <c r="FJ39" s="108"/>
      <c r="FK39" s="108"/>
      <c r="FL39" s="108"/>
      <c r="FM39" s="108"/>
      <c r="FN39" s="108"/>
      <c r="FO39" s="108"/>
      <c r="FP39" s="108"/>
      <c r="FQ39" s="108"/>
      <c r="FR39" s="108"/>
      <c r="FS39" s="108"/>
      <c r="FT39" s="108"/>
      <c r="FU39" s="108"/>
      <c r="FV39" s="108"/>
      <c r="FW39" s="108"/>
      <c r="FX39" s="108"/>
      <c r="FY39" s="108"/>
      <c r="FZ39" s="108"/>
      <c r="GA39" s="108"/>
      <c r="GB39" s="108"/>
      <c r="GC39" s="108"/>
      <c r="GD39" s="108"/>
      <c r="GE39" s="108"/>
      <c r="GF39" s="108"/>
      <c r="GG39" s="108"/>
      <c r="GH39" s="108"/>
      <c r="GI39" s="108"/>
      <c r="GJ39" s="108"/>
      <c r="GK39" s="108"/>
      <c r="GL39" s="108"/>
      <c r="GM39" s="108"/>
      <c r="GN39" s="108"/>
      <c r="GO39" s="108"/>
      <c r="GP39" s="108"/>
      <c r="GQ39" s="108"/>
      <c r="GR39" s="108"/>
      <c r="GS39" s="108"/>
      <c r="GT39" s="108"/>
      <c r="GU39" s="108"/>
      <c r="GV39" s="108"/>
      <c r="GW39" s="108"/>
      <c r="GX39" s="108"/>
      <c r="GY39" s="108"/>
      <c r="GZ39" s="108"/>
      <c r="HA39" s="108"/>
      <c r="HB39" s="108"/>
      <c r="HC39" s="108"/>
      <c r="HD39" s="108"/>
      <c r="HE39" s="108"/>
      <c r="HF39" s="108"/>
      <c r="HG39" s="108"/>
      <c r="HH39" s="108"/>
      <c r="HI39" s="108"/>
      <c r="HJ39" s="108"/>
      <c r="HK39" s="108"/>
      <c r="HL39" s="108"/>
      <c r="HM39" s="108"/>
      <c r="HN39" s="108"/>
      <c r="HO39" s="108"/>
      <c r="HP39" s="108"/>
      <c r="HQ39" s="108"/>
      <c r="HR39" s="108"/>
      <c r="HS39" s="108"/>
      <c r="HT39" s="108"/>
      <c r="HU39" s="108"/>
      <c r="HV39" s="108"/>
      <c r="HW39" s="108"/>
      <c r="HX39" s="108"/>
      <c r="HY39" s="108"/>
      <c r="HZ39" s="108"/>
      <c r="IA39" s="108"/>
      <c r="IB39" s="108"/>
      <c r="IC39" s="108"/>
      <c r="ID39" s="108"/>
      <c r="IE39" s="108"/>
      <c r="IF39" s="108"/>
      <c r="IG39" s="108"/>
      <c r="IH39" s="108"/>
      <c r="II39" s="108"/>
      <c r="IJ39" s="108"/>
      <c r="IK39" s="108"/>
      <c r="IL39" s="108"/>
      <c r="IM39" s="108"/>
      <c r="IN39" s="108"/>
      <c r="IO39" s="108"/>
      <c r="IP39" s="108"/>
      <c r="IQ39" s="108"/>
      <c r="IR39" s="108"/>
      <c r="IS39" s="108"/>
      <c r="IT39" s="108"/>
      <c r="IU39" s="108"/>
      <c r="IV39" s="108"/>
    </row>
    <row r="40" spans="1:256" ht="18" customHeight="1" x14ac:dyDescent="0.2">
      <c r="A40" s="456" t="s">
        <v>133</v>
      </c>
      <c r="B40" s="457"/>
      <c r="C40" s="457"/>
      <c r="D40" s="457"/>
      <c r="E40" s="457"/>
      <c r="F40" s="457"/>
      <c r="G40" s="457"/>
      <c r="H40" s="457"/>
      <c r="I40" s="457"/>
      <c r="J40" s="458"/>
      <c r="K40" s="215"/>
      <c r="L40" s="315"/>
    </row>
    <row r="41" spans="1:256" ht="17.100000000000001" customHeight="1" x14ac:dyDescent="0.2">
      <c r="A41" s="515" t="s">
        <v>192</v>
      </c>
      <c r="B41" s="472"/>
      <c r="C41" s="472"/>
      <c r="D41" s="472"/>
      <c r="E41" s="472"/>
      <c r="F41" s="472"/>
      <c r="G41" s="472"/>
      <c r="H41" s="472"/>
      <c r="I41" s="472"/>
      <c r="L41" s="319"/>
    </row>
    <row r="42" spans="1:256" ht="17.100000000000001" customHeight="1" x14ac:dyDescent="0.2">
      <c r="A42" s="515" t="s">
        <v>180</v>
      </c>
      <c r="B42" s="472"/>
      <c r="C42" s="472"/>
      <c r="D42" s="472"/>
      <c r="E42" s="472"/>
      <c r="F42" s="472"/>
      <c r="G42" s="472"/>
      <c r="H42" s="472"/>
      <c r="I42" s="472"/>
      <c r="L42" s="319"/>
    </row>
    <row r="43" spans="1:256" ht="17.100000000000001" customHeight="1" x14ac:dyDescent="0.25">
      <c r="A43" s="515" t="s">
        <v>181</v>
      </c>
      <c r="B43" s="472"/>
      <c r="C43" s="472"/>
      <c r="D43" s="472"/>
      <c r="E43" s="473" t="s">
        <v>182</v>
      </c>
      <c r="F43" s="473"/>
      <c r="G43" s="473"/>
      <c r="H43" s="473"/>
      <c r="I43" s="473"/>
      <c r="J43" s="473"/>
      <c r="L43" s="319"/>
    </row>
    <row r="44" spans="1:256" ht="17.100000000000001" customHeight="1" x14ac:dyDescent="0.25">
      <c r="A44" s="515" t="s">
        <v>136</v>
      </c>
      <c r="B44" s="472"/>
      <c r="C44" s="472"/>
      <c r="D44" s="472"/>
      <c r="E44" s="473" t="s">
        <v>183</v>
      </c>
      <c r="F44" s="473"/>
      <c r="G44" s="473"/>
      <c r="H44" s="473"/>
      <c r="I44" s="473"/>
      <c r="J44" s="473"/>
      <c r="L44" s="319"/>
    </row>
    <row r="45" spans="1:256" ht="17.100000000000001" customHeight="1" x14ac:dyDescent="0.25">
      <c r="A45" s="515" t="s">
        <v>184</v>
      </c>
      <c r="B45" s="472"/>
      <c r="C45" s="472"/>
      <c r="D45" s="472"/>
      <c r="E45" s="473" t="s">
        <v>185</v>
      </c>
      <c r="F45" s="473"/>
      <c r="G45" s="473"/>
      <c r="H45" s="473"/>
      <c r="I45" s="473"/>
      <c r="J45" s="473"/>
      <c r="L45" s="319"/>
    </row>
    <row r="46" spans="1:256" ht="17.100000000000001" customHeight="1" x14ac:dyDescent="0.25">
      <c r="A46" s="515" t="s">
        <v>137</v>
      </c>
      <c r="B46" s="472"/>
      <c r="C46" s="472"/>
      <c r="D46" s="472"/>
      <c r="E46" s="479" t="s">
        <v>186</v>
      </c>
      <c r="F46" s="479"/>
      <c r="G46" s="479"/>
      <c r="H46" s="479"/>
      <c r="I46" s="479"/>
      <c r="J46" s="479"/>
      <c r="L46" s="319"/>
    </row>
    <row r="47" spans="1:256" ht="33.75" customHeight="1" x14ac:dyDescent="0.2">
      <c r="A47" s="456" t="s">
        <v>125</v>
      </c>
      <c r="B47" s="457"/>
      <c r="C47" s="457"/>
      <c r="D47" s="457"/>
      <c r="E47" s="457"/>
      <c r="F47" s="457"/>
      <c r="G47" s="457"/>
      <c r="H47" s="457"/>
      <c r="I47" s="457"/>
      <c r="J47" s="458"/>
      <c r="K47" s="215"/>
      <c r="L47" s="315"/>
    </row>
    <row r="48" spans="1:256" ht="27" customHeight="1" x14ac:dyDescent="0.2">
      <c r="A48" s="515" t="s">
        <v>231</v>
      </c>
      <c r="B48" s="472"/>
      <c r="C48" s="472"/>
      <c r="D48" s="472"/>
      <c r="E48" s="472"/>
      <c r="F48" s="472"/>
      <c r="G48" s="472"/>
      <c r="H48" s="472"/>
      <c r="I48" s="472"/>
      <c r="J48" s="472"/>
      <c r="K48" s="202"/>
      <c r="L48" s="315"/>
    </row>
    <row r="49" spans="1:12" ht="33" customHeight="1" x14ac:dyDescent="0.2">
      <c r="A49" s="515" t="s">
        <v>384</v>
      </c>
      <c r="B49" s="472"/>
      <c r="C49" s="472"/>
      <c r="D49" s="472"/>
      <c r="E49" s="472"/>
      <c r="F49" s="472"/>
      <c r="G49" s="472"/>
      <c r="H49" s="472"/>
      <c r="I49" s="472"/>
      <c r="J49" s="520"/>
      <c r="K49" s="202"/>
      <c r="L49" s="315"/>
    </row>
    <row r="50" spans="1:12" ht="33.75" customHeight="1" x14ac:dyDescent="0.2">
      <c r="A50" s="474" t="s">
        <v>232</v>
      </c>
      <c r="B50" s="475"/>
      <c r="C50" s="475"/>
      <c r="D50" s="475"/>
      <c r="E50" s="475"/>
      <c r="F50" s="475"/>
      <c r="G50" s="475"/>
      <c r="H50" s="475"/>
      <c r="I50" s="475"/>
      <c r="J50" s="476"/>
      <c r="K50" s="202"/>
      <c r="L50" s="178"/>
    </row>
    <row r="51" spans="1:12" ht="18.75" customHeight="1" x14ac:dyDescent="0.2">
      <c r="A51" s="474" t="s">
        <v>233</v>
      </c>
      <c r="B51" s="475"/>
      <c r="C51" s="475"/>
      <c r="D51" s="475"/>
      <c r="E51" s="475"/>
      <c r="F51" s="475"/>
      <c r="G51" s="475"/>
      <c r="H51" s="475"/>
      <c r="I51" s="475"/>
      <c r="J51" s="476"/>
      <c r="K51" s="202"/>
      <c r="L51" s="178"/>
    </row>
    <row r="52" spans="1:12" ht="33.75" customHeight="1" x14ac:dyDescent="0.2">
      <c r="A52" s="474" t="s">
        <v>234</v>
      </c>
      <c r="B52" s="475"/>
      <c r="C52" s="475"/>
      <c r="D52" s="475"/>
      <c r="E52" s="475"/>
      <c r="F52" s="475"/>
      <c r="G52" s="475"/>
      <c r="H52" s="475"/>
      <c r="I52" s="475"/>
      <c r="J52" s="476"/>
      <c r="K52" s="202"/>
      <c r="L52" s="178"/>
    </row>
    <row r="53" spans="1:12" ht="47.25" customHeight="1" x14ac:dyDescent="0.2">
      <c r="A53" s="474" t="s">
        <v>235</v>
      </c>
      <c r="B53" s="475"/>
      <c r="C53" s="475"/>
      <c r="D53" s="475"/>
      <c r="E53" s="475"/>
      <c r="F53" s="475"/>
      <c r="G53" s="475"/>
      <c r="H53" s="475"/>
      <c r="I53" s="475"/>
      <c r="J53" s="476"/>
      <c r="K53" s="202"/>
      <c r="L53" s="320"/>
    </row>
    <row r="54" spans="1:12" ht="19.5" customHeight="1" x14ac:dyDescent="0.2">
      <c r="A54" s="474" t="s">
        <v>236</v>
      </c>
      <c r="B54" s="475"/>
      <c r="C54" s="475"/>
      <c r="D54" s="475"/>
      <c r="E54" s="475"/>
      <c r="F54" s="475"/>
      <c r="G54" s="475"/>
      <c r="H54" s="475"/>
      <c r="I54" s="475"/>
      <c r="J54" s="476"/>
      <c r="K54" s="202"/>
      <c r="L54" s="320"/>
    </row>
    <row r="55" spans="1:12" ht="15.75" customHeight="1" x14ac:dyDescent="0.2">
      <c r="A55" s="474"/>
      <c r="B55" s="475"/>
      <c r="C55" s="475"/>
      <c r="D55" s="475"/>
      <c r="E55" s="475"/>
      <c r="F55" s="475"/>
      <c r="G55" s="475"/>
      <c r="H55" s="475"/>
      <c r="I55" s="475"/>
      <c r="J55" s="178"/>
      <c r="K55" s="131"/>
      <c r="L55" s="178"/>
    </row>
    <row r="56" spans="1:12" ht="15.75" x14ac:dyDescent="0.2">
      <c r="A56" s="478"/>
      <c r="B56" s="455"/>
      <c r="C56" s="455"/>
      <c r="D56" s="455"/>
      <c r="E56" s="455"/>
      <c r="F56" s="455"/>
      <c r="G56" s="455"/>
      <c r="H56" s="455"/>
      <c r="I56" s="131"/>
      <c r="J56" s="178"/>
      <c r="K56" s="131"/>
      <c r="L56" s="178"/>
    </row>
    <row r="57" spans="1:12" ht="15.75" x14ac:dyDescent="0.2">
      <c r="A57" s="478"/>
      <c r="B57" s="455"/>
      <c r="C57" s="455"/>
      <c r="D57" s="455"/>
      <c r="E57" s="455"/>
      <c r="F57" s="455"/>
      <c r="G57" s="455"/>
      <c r="H57" s="455"/>
      <c r="I57" s="131"/>
      <c r="J57" s="178"/>
      <c r="K57" s="131"/>
      <c r="L57" s="178"/>
    </row>
    <row r="58" spans="1:12" ht="15.75" x14ac:dyDescent="0.2">
      <c r="A58" s="478"/>
      <c r="B58" s="455"/>
      <c r="C58" s="455"/>
      <c r="D58" s="455"/>
      <c r="E58" s="455"/>
      <c r="F58" s="455"/>
      <c r="G58" s="455"/>
      <c r="H58" s="455"/>
      <c r="I58" s="131"/>
      <c r="J58" s="178"/>
      <c r="K58" s="131"/>
      <c r="L58" s="178"/>
    </row>
    <row r="59" spans="1:12" ht="15.75" x14ac:dyDescent="0.2">
      <c r="A59" s="478"/>
      <c r="B59" s="455"/>
      <c r="C59" s="455"/>
      <c r="D59" s="455"/>
      <c r="E59" s="455"/>
      <c r="F59" s="455"/>
      <c r="G59" s="455"/>
      <c r="H59" s="455"/>
      <c r="I59" s="131"/>
      <c r="J59" s="178"/>
      <c r="K59" s="131"/>
      <c r="L59" s="178"/>
    </row>
    <row r="60" spans="1:12" ht="15.75" x14ac:dyDescent="0.2">
      <c r="A60" s="179"/>
      <c r="B60" s="180"/>
      <c r="C60" s="180"/>
      <c r="D60" s="180"/>
      <c r="E60" s="180"/>
      <c r="F60" s="180"/>
      <c r="G60" s="180"/>
      <c r="H60" s="181"/>
      <c r="I60" s="180"/>
      <c r="J60" s="182"/>
      <c r="K60" s="180"/>
      <c r="L60" s="182"/>
    </row>
    <row r="61" spans="1:12" ht="15.75" x14ac:dyDescent="0.2">
      <c r="A61" s="131"/>
      <c r="B61" s="131"/>
      <c r="C61" s="131"/>
      <c r="D61" s="131"/>
      <c r="E61" s="131"/>
      <c r="F61" s="131"/>
      <c r="G61" s="131"/>
      <c r="H61" s="131"/>
      <c r="I61" s="131"/>
      <c r="J61" s="131"/>
      <c r="K61" s="131"/>
      <c r="L61" s="131"/>
    </row>
  </sheetData>
  <mergeCells count="60">
    <mergeCell ref="G5:J5"/>
    <mergeCell ref="A56:H59"/>
    <mergeCell ref="A45:D45"/>
    <mergeCell ref="E45:J45"/>
    <mergeCell ref="A46:D46"/>
    <mergeCell ref="E46:J46"/>
    <mergeCell ref="A47:J47"/>
    <mergeCell ref="A50:J50"/>
    <mergeCell ref="A51:J51"/>
    <mergeCell ref="A52:J52"/>
    <mergeCell ref="A53:J53"/>
    <mergeCell ref="A54:J54"/>
    <mergeCell ref="A55:I55"/>
    <mergeCell ref="A49:J49"/>
    <mergeCell ref="A48:J48"/>
    <mergeCell ref="A24:B24"/>
    <mergeCell ref="A44:D44"/>
    <mergeCell ref="D21:D24"/>
    <mergeCell ref="A34:I34"/>
    <mergeCell ref="A35:J35"/>
    <mergeCell ref="A37:I37"/>
    <mergeCell ref="A38:J38"/>
    <mergeCell ref="A33:J33"/>
    <mergeCell ref="A36:J36"/>
    <mergeCell ref="E44:J44"/>
    <mergeCell ref="A31:I31"/>
    <mergeCell ref="A32:J32"/>
    <mergeCell ref="A43:D43"/>
    <mergeCell ref="E43:J43"/>
    <mergeCell ref="A40:J40"/>
    <mergeCell ref="A41:I41"/>
    <mergeCell ref="A42:I42"/>
    <mergeCell ref="A18:J18"/>
    <mergeCell ref="A19:F19"/>
    <mergeCell ref="H19:L19"/>
    <mergeCell ref="A25:D25"/>
    <mergeCell ref="A26:J26"/>
    <mergeCell ref="A29:J29"/>
    <mergeCell ref="A30:J30"/>
    <mergeCell ref="A27:J27"/>
    <mergeCell ref="A20:B20"/>
    <mergeCell ref="A23:B23"/>
    <mergeCell ref="A21:B21"/>
    <mergeCell ref="A22:B22"/>
    <mergeCell ref="A39:J39"/>
    <mergeCell ref="A10:J10"/>
    <mergeCell ref="C2:J2"/>
    <mergeCell ref="A6:H6"/>
    <mergeCell ref="A7:H7"/>
    <mergeCell ref="A9:J9"/>
    <mergeCell ref="A11:H11"/>
    <mergeCell ref="A12:J12"/>
    <mergeCell ref="A14:G14"/>
    <mergeCell ref="A15:G15"/>
    <mergeCell ref="H15:J15"/>
    <mergeCell ref="A13:F13"/>
    <mergeCell ref="H14:J14"/>
    <mergeCell ref="A16:J16"/>
    <mergeCell ref="A17:J17"/>
    <mergeCell ref="A28:I28"/>
  </mergeCells>
  <printOptions horizontalCentered="1" verticalCentered="1"/>
  <pageMargins left="0.51181102362204722" right="0.51181102362204722" top="0.78740157480314965" bottom="0.78740157480314965" header="0.31496062992125984" footer="0.31496062992125984"/>
  <pageSetup paperSize="9" scale="57" orientation="portrait" horizontalDpi="360" verticalDpi="36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21AE4-E60C-4551-85FC-781B9540AE2E}">
  <dimension ref="A1:D8"/>
  <sheetViews>
    <sheetView tabSelected="1" workbookViewId="0">
      <selection sqref="A1:D8"/>
    </sheetView>
  </sheetViews>
  <sheetFormatPr defaultRowHeight="15" x14ac:dyDescent="0.25"/>
  <cols>
    <col min="2" max="2" width="17.42578125" customWidth="1"/>
    <col min="3" max="3" width="19.42578125" customWidth="1"/>
    <col min="4" max="4" width="15.28515625" customWidth="1"/>
  </cols>
  <sheetData>
    <row r="1" spans="1:4" s="835" customFormat="1" x14ac:dyDescent="0.25">
      <c r="A1" s="836" t="s">
        <v>566</v>
      </c>
      <c r="B1" s="836" t="s">
        <v>559</v>
      </c>
      <c r="C1" s="836" t="s">
        <v>560</v>
      </c>
      <c r="D1" s="836" t="s">
        <v>561</v>
      </c>
    </row>
    <row r="2" spans="1:4" x14ac:dyDescent="0.25">
      <c r="A2" s="837">
        <v>45292</v>
      </c>
      <c r="B2" s="838">
        <v>97318.19</v>
      </c>
      <c r="C2" s="838">
        <v>102075.47</v>
      </c>
      <c r="D2" s="838">
        <f>C2-B2</f>
        <v>4757.2799999999988</v>
      </c>
    </row>
    <row r="3" spans="1:4" x14ac:dyDescent="0.25">
      <c r="A3" s="837">
        <v>45323</v>
      </c>
      <c r="B3" s="838">
        <v>97318.19</v>
      </c>
      <c r="C3" s="838">
        <v>102075.47</v>
      </c>
      <c r="D3" s="838">
        <f t="shared" ref="D3:D7" si="0">C3-B3</f>
        <v>4757.2799999999988</v>
      </c>
    </row>
    <row r="4" spans="1:4" x14ac:dyDescent="0.25">
      <c r="A4" s="837">
        <v>45352</v>
      </c>
      <c r="B4" s="838">
        <v>97318.19</v>
      </c>
      <c r="C4" s="838">
        <v>102075.47</v>
      </c>
      <c r="D4" s="838">
        <f t="shared" si="0"/>
        <v>4757.2799999999988</v>
      </c>
    </row>
    <row r="5" spans="1:4" x14ac:dyDescent="0.25">
      <c r="A5" s="837">
        <v>45383</v>
      </c>
      <c r="B5" s="838">
        <v>97318.19</v>
      </c>
      <c r="C5" s="838">
        <v>102075.47</v>
      </c>
      <c r="D5" s="838">
        <f t="shared" si="0"/>
        <v>4757.2799999999988</v>
      </c>
    </row>
    <row r="6" spans="1:4" x14ac:dyDescent="0.25">
      <c r="A6" s="837">
        <v>45413</v>
      </c>
      <c r="B6" s="838">
        <v>97318.19</v>
      </c>
      <c r="C6" s="838">
        <v>102075.47</v>
      </c>
      <c r="D6" s="838">
        <f t="shared" si="0"/>
        <v>4757.2799999999988</v>
      </c>
    </row>
    <row r="7" spans="1:4" x14ac:dyDescent="0.25">
      <c r="A7" s="837">
        <v>45444</v>
      </c>
      <c r="B7" s="838">
        <v>97318.19</v>
      </c>
      <c r="C7" s="838">
        <v>102075.47</v>
      </c>
      <c r="D7" s="838">
        <f t="shared" si="0"/>
        <v>4757.2799999999988</v>
      </c>
    </row>
    <row r="8" spans="1:4" x14ac:dyDescent="0.25">
      <c r="A8" s="839" t="s">
        <v>1</v>
      </c>
      <c r="B8" s="839"/>
      <c r="C8" s="839"/>
      <c r="D8" s="840">
        <f>SUM(D2:D7)</f>
        <v>28543.679999999993</v>
      </c>
    </row>
  </sheetData>
  <mergeCells count="1">
    <mergeCell ref="A8:C8"/>
  </mergeCells>
  <pageMargins left="0.511811024" right="0.511811024" top="0.78740157499999996" bottom="0.78740157499999996" header="0.31496062000000002" footer="0.31496062000000002"/>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6"/>
  <sheetViews>
    <sheetView showGridLines="0" topLeftCell="A13" workbookViewId="0">
      <selection activeCell="H9" sqref="H9"/>
    </sheetView>
  </sheetViews>
  <sheetFormatPr defaultRowHeight="12.75" x14ac:dyDescent="0.25"/>
  <cols>
    <col min="1" max="1" width="24.140625" style="235" customWidth="1"/>
    <col min="2" max="2" width="7.85546875" style="235" customWidth="1"/>
    <col min="3" max="3" width="15.140625" style="235" customWidth="1"/>
    <col min="4" max="4" width="7.42578125" style="235" customWidth="1"/>
    <col min="5" max="5" width="14.85546875" style="235" customWidth="1"/>
    <col min="6" max="6" width="3" style="235" customWidth="1"/>
    <col min="7" max="7" width="4.85546875" style="235" customWidth="1"/>
    <col min="8" max="8" width="14.42578125" style="235" customWidth="1"/>
    <col min="9" max="9" width="14.85546875" style="235" customWidth="1"/>
    <col min="10" max="10" width="6.85546875" style="235" customWidth="1"/>
    <col min="11" max="16384" width="9.140625" style="235"/>
  </cols>
  <sheetData>
    <row r="1" spans="1:10" ht="53.1" customHeight="1" x14ac:dyDescent="0.25">
      <c r="A1" s="533" t="s">
        <v>429</v>
      </c>
      <c r="B1" s="533"/>
      <c r="C1" s="533"/>
      <c r="D1" s="533"/>
      <c r="E1" s="533"/>
      <c r="F1" s="533"/>
      <c r="G1" s="533"/>
      <c r="H1" s="533"/>
      <c r="I1" s="533"/>
      <c r="J1" s="294"/>
    </row>
    <row r="2" spans="1:10" ht="32.25" customHeight="1" x14ac:dyDescent="0.25">
      <c r="A2" s="528">
        <v>2023</v>
      </c>
      <c r="B2" s="529"/>
      <c r="C2" s="529"/>
      <c r="D2" s="529"/>
      <c r="E2" s="529"/>
      <c r="F2" s="529"/>
      <c r="G2" s="529"/>
      <c r="H2" s="529"/>
      <c r="I2" s="530"/>
      <c r="J2" s="294"/>
    </row>
    <row r="3" spans="1:10" s="226" customFormat="1" ht="53.45" customHeight="1" x14ac:dyDescent="0.25">
      <c r="A3" s="341" t="s">
        <v>421</v>
      </c>
      <c r="B3" s="342" t="s">
        <v>422</v>
      </c>
      <c r="C3" s="446" t="s">
        <v>430</v>
      </c>
      <c r="D3" s="343" t="s">
        <v>423</v>
      </c>
      <c r="E3" s="343" t="s">
        <v>424</v>
      </c>
      <c r="F3" s="531" t="s">
        <v>425</v>
      </c>
      <c r="G3" s="532"/>
      <c r="H3" s="342" t="s">
        <v>426</v>
      </c>
      <c r="I3" s="342" t="s">
        <v>427</v>
      </c>
    </row>
    <row r="4" spans="1:10" ht="42.6" customHeight="1" x14ac:dyDescent="0.25">
      <c r="A4" s="284" t="s">
        <v>432</v>
      </c>
      <c r="B4" s="252">
        <v>2</v>
      </c>
      <c r="C4" s="287">
        <f ca="1">'12x36 DA'!C130</f>
        <v>7190.0786856367004</v>
      </c>
      <c r="D4" s="288">
        <v>2</v>
      </c>
      <c r="E4" s="287">
        <f ca="1">D4*C4</f>
        <v>14380.157371273401</v>
      </c>
      <c r="F4" s="521">
        <v>4</v>
      </c>
      <c r="G4" s="522"/>
      <c r="H4" s="287">
        <f ca="1">E4*B4</f>
        <v>28760.314742546801</v>
      </c>
      <c r="I4" s="287">
        <f ca="1">H4*12</f>
        <v>345123.7769105616</v>
      </c>
    </row>
    <row r="5" spans="1:10" ht="30" customHeight="1" x14ac:dyDescent="0.25">
      <c r="A5" s="283" t="s">
        <v>431</v>
      </c>
      <c r="B5" s="285">
        <v>2</v>
      </c>
      <c r="C5" s="289">
        <f ca="1">'12X36 NA'!C131</f>
        <v>7862.5039607426997</v>
      </c>
      <c r="D5" s="290">
        <v>2</v>
      </c>
      <c r="E5" s="289">
        <f ca="1">D5*C5</f>
        <v>15725.007921485399</v>
      </c>
      <c r="F5" s="521">
        <v>4</v>
      </c>
      <c r="G5" s="522"/>
      <c r="H5" s="287">
        <f ca="1">E5*B5</f>
        <v>31450.015842970799</v>
      </c>
      <c r="I5" s="289">
        <f ca="1">H5*12</f>
        <v>377400.1901156496</v>
      </c>
    </row>
    <row r="6" spans="1:10" ht="53.85" customHeight="1" x14ac:dyDescent="0.25">
      <c r="A6" s="284" t="s">
        <v>433</v>
      </c>
      <c r="B6" s="252">
        <v>3</v>
      </c>
      <c r="C6" s="287">
        <f ca="1">'44HS DA'!C131</f>
        <v>7428.7104856366996</v>
      </c>
      <c r="D6" s="288">
        <v>1</v>
      </c>
      <c r="E6" s="287">
        <f ca="1">D6*C6</f>
        <v>7428.7104856366996</v>
      </c>
      <c r="F6" s="521">
        <v>3</v>
      </c>
      <c r="G6" s="522"/>
      <c r="H6" s="287">
        <f ca="1">E6*B6</f>
        <v>22286.131456910098</v>
      </c>
      <c r="I6" s="287">
        <f ca="1">H6*12</f>
        <v>267433.57748292119</v>
      </c>
    </row>
    <row r="7" spans="1:10" ht="53.25" customHeight="1" x14ac:dyDescent="0.25">
      <c r="A7" s="284" t="s">
        <v>434</v>
      </c>
      <c r="B7" s="252">
        <v>2</v>
      </c>
      <c r="C7" s="287">
        <f ca="1">'44HS DD'!C131</f>
        <v>7410.8946523033665</v>
      </c>
      <c r="D7" s="288">
        <v>1</v>
      </c>
      <c r="E7" s="287">
        <f ca="1">D7*C7</f>
        <v>7410.8946523033665</v>
      </c>
      <c r="F7" s="521">
        <v>2</v>
      </c>
      <c r="G7" s="522"/>
      <c r="H7" s="287">
        <f ca="1">E7*B7</f>
        <v>14821.789304606733</v>
      </c>
      <c r="I7" s="287">
        <f ca="1">H7*12</f>
        <v>177861.47165528079</v>
      </c>
    </row>
    <row r="8" spans="1:10" s="286" customFormat="1" ht="21.6" customHeight="1" x14ac:dyDescent="0.25">
      <c r="A8" s="523" t="s">
        <v>428</v>
      </c>
      <c r="B8" s="524"/>
      <c r="C8" s="524"/>
      <c r="D8" s="524"/>
      <c r="E8" s="525"/>
      <c r="F8" s="526">
        <f>SUM(F4:G7)</f>
        <v>13</v>
      </c>
      <c r="G8" s="527"/>
      <c r="H8" s="291">
        <f ca="1">SUM(H4:H7)-0.03</f>
        <v>97318.221347034429</v>
      </c>
      <c r="I8" s="291">
        <f ca="1">SUM(I4:I7)</f>
        <v>1167819.0161644132</v>
      </c>
    </row>
    <row r="10" spans="1:10" ht="32.25" customHeight="1" x14ac:dyDescent="0.25">
      <c r="A10" s="528">
        <v>2024</v>
      </c>
      <c r="B10" s="529"/>
      <c r="C10" s="529"/>
      <c r="D10" s="529"/>
      <c r="E10" s="529"/>
      <c r="F10" s="529"/>
      <c r="G10" s="529"/>
      <c r="H10" s="529"/>
      <c r="I10" s="530"/>
      <c r="J10" s="294"/>
    </row>
    <row r="11" spans="1:10" s="226" customFormat="1" ht="53.45" customHeight="1" x14ac:dyDescent="0.25">
      <c r="A11" s="341" t="s">
        <v>421</v>
      </c>
      <c r="B11" s="342" t="s">
        <v>422</v>
      </c>
      <c r="C11" s="446" t="s">
        <v>430</v>
      </c>
      <c r="D11" s="343" t="s">
        <v>423</v>
      </c>
      <c r="E11" s="343" t="s">
        <v>424</v>
      </c>
      <c r="F11" s="531" t="s">
        <v>425</v>
      </c>
      <c r="G11" s="532"/>
      <c r="H11" s="342" t="s">
        <v>426</v>
      </c>
      <c r="I11" s="342" t="s">
        <v>427</v>
      </c>
    </row>
    <row r="12" spans="1:10" ht="42.6" customHeight="1" x14ac:dyDescent="0.25">
      <c r="A12" s="284" t="s">
        <v>432</v>
      </c>
      <c r="B12" s="252">
        <v>2</v>
      </c>
      <c r="C12" s="287">
        <f ca="1">'12x36 DA'!D130</f>
        <v>7542.5713959763689</v>
      </c>
      <c r="D12" s="288">
        <v>2</v>
      </c>
      <c r="E12" s="287">
        <f ca="1">D12*C12</f>
        <v>15085.142791952738</v>
      </c>
      <c r="F12" s="521">
        <v>4</v>
      </c>
      <c r="G12" s="522"/>
      <c r="H12" s="287">
        <f ca="1">E12*B12</f>
        <v>30170.285583905476</v>
      </c>
      <c r="I12" s="287">
        <f ca="1">H12*12</f>
        <v>362043.42700686574</v>
      </c>
    </row>
    <row r="13" spans="1:10" ht="30" customHeight="1" x14ac:dyDescent="0.25">
      <c r="A13" s="283" t="s">
        <v>431</v>
      </c>
      <c r="B13" s="285">
        <v>2</v>
      </c>
      <c r="C13" s="289">
        <f ca="1">'12X36 NA'!D131</f>
        <v>8248.5183966610839</v>
      </c>
      <c r="D13" s="290">
        <v>2</v>
      </c>
      <c r="E13" s="289">
        <f ca="1">D13*C13</f>
        <v>16497.036793322168</v>
      </c>
      <c r="F13" s="521">
        <v>4</v>
      </c>
      <c r="G13" s="522"/>
      <c r="H13" s="287">
        <f ca="1">E13*B13</f>
        <v>32994.073586644336</v>
      </c>
      <c r="I13" s="289">
        <f ca="1">H13*12</f>
        <v>395928.883039732</v>
      </c>
    </row>
    <row r="14" spans="1:10" ht="53.85" customHeight="1" x14ac:dyDescent="0.25">
      <c r="A14" s="284" t="s">
        <v>433</v>
      </c>
      <c r="B14" s="252">
        <v>3</v>
      </c>
      <c r="C14" s="287">
        <f ca="1">'44HS DA'!D131</f>
        <v>7789.3489474810076</v>
      </c>
      <c r="D14" s="288">
        <v>1</v>
      </c>
      <c r="E14" s="287">
        <f ca="1">D14*C14</f>
        <v>7789.3489474810076</v>
      </c>
      <c r="F14" s="521">
        <v>3</v>
      </c>
      <c r="G14" s="522"/>
      <c r="H14" s="287">
        <f ca="1">E14*B14</f>
        <v>23368.046842443022</v>
      </c>
      <c r="I14" s="287">
        <f ca="1">H14*12</f>
        <v>280416.56210931623</v>
      </c>
    </row>
    <row r="15" spans="1:10" ht="53.25" customHeight="1" x14ac:dyDescent="0.25">
      <c r="A15" s="284" t="s">
        <v>434</v>
      </c>
      <c r="B15" s="252">
        <v>2</v>
      </c>
      <c r="C15" s="287">
        <f ca="1">'44HS DD'!D131</f>
        <v>7771.5319432846927</v>
      </c>
      <c r="D15" s="288">
        <v>1</v>
      </c>
      <c r="E15" s="287">
        <f ca="1">D15*C15</f>
        <v>7771.5319432846927</v>
      </c>
      <c r="F15" s="521">
        <v>2</v>
      </c>
      <c r="G15" s="522"/>
      <c r="H15" s="287">
        <f ca="1">E15*B15</f>
        <v>15543.063886569385</v>
      </c>
      <c r="I15" s="287">
        <f ca="1">H15*12</f>
        <v>186516.76663883263</v>
      </c>
    </row>
    <row r="16" spans="1:10" s="286" customFormat="1" ht="21.6" customHeight="1" x14ac:dyDescent="0.25">
      <c r="A16" s="523" t="s">
        <v>428</v>
      </c>
      <c r="B16" s="524"/>
      <c r="C16" s="524"/>
      <c r="D16" s="524"/>
      <c r="E16" s="525"/>
      <c r="F16" s="526">
        <f>SUM(F12:G15)</f>
        <v>13</v>
      </c>
      <c r="G16" s="527"/>
      <c r="H16" s="291">
        <f ca="1">SUM(H12:H15)</f>
        <v>102075.46989956223</v>
      </c>
      <c r="I16" s="291">
        <f ca="1">SUM(I12:I15)</f>
        <v>1224905.6387947467</v>
      </c>
    </row>
  </sheetData>
  <mergeCells count="17">
    <mergeCell ref="A1:I1"/>
    <mergeCell ref="F7:G7"/>
    <mergeCell ref="A8:E8"/>
    <mergeCell ref="F8:G8"/>
    <mergeCell ref="F6:G6"/>
    <mergeCell ref="F3:G3"/>
    <mergeCell ref="F4:G4"/>
    <mergeCell ref="F5:G5"/>
    <mergeCell ref="A2:I2"/>
    <mergeCell ref="F15:G15"/>
    <mergeCell ref="A16:E16"/>
    <mergeCell ref="F16:G16"/>
    <mergeCell ref="A10:I10"/>
    <mergeCell ref="F11:G11"/>
    <mergeCell ref="F12:G12"/>
    <mergeCell ref="F13:G13"/>
    <mergeCell ref="F14:G1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24"/>
  <sheetViews>
    <sheetView topLeftCell="A49" workbookViewId="0">
      <selection activeCell="A63" sqref="A63:C63"/>
    </sheetView>
  </sheetViews>
  <sheetFormatPr defaultRowHeight="12.75" x14ac:dyDescent="0.25"/>
  <cols>
    <col min="1" max="1" width="92.7109375" style="37" customWidth="1"/>
    <col min="2" max="2" width="15.28515625" style="41" customWidth="1"/>
    <col min="3" max="3" width="23.7109375" style="41" customWidth="1"/>
    <col min="4" max="4" width="9.42578125" style="37" bestFit="1" customWidth="1"/>
    <col min="5" max="5" width="18.42578125" style="37" customWidth="1"/>
    <col min="6" max="16384" width="9.140625" style="37"/>
  </cols>
  <sheetData>
    <row r="1" spans="1:5" s="43" customFormat="1" ht="27" customHeight="1" x14ac:dyDescent="0.25">
      <c r="A1" s="535" t="s">
        <v>187</v>
      </c>
      <c r="B1" s="535"/>
      <c r="C1" s="535"/>
      <c r="D1" s="42"/>
      <c r="E1" s="42"/>
    </row>
    <row r="2" spans="1:5" s="43" customFormat="1" ht="31.5" customHeight="1" x14ac:dyDescent="0.25">
      <c r="A2" s="536" t="s">
        <v>101</v>
      </c>
      <c r="B2" s="536"/>
      <c r="C2" s="536"/>
    </row>
    <row r="3" spans="1:5" s="43" customFormat="1" ht="15.75" customHeight="1" x14ac:dyDescent="0.25">
      <c r="A3" s="44" t="s">
        <v>188</v>
      </c>
      <c r="B3" s="44"/>
      <c r="C3" s="44"/>
    </row>
    <row r="4" spans="1:5" s="43" customFormat="1" ht="15.75" customHeight="1" x14ac:dyDescent="0.25">
      <c r="A4" s="44" t="s">
        <v>189</v>
      </c>
      <c r="B4" s="44"/>
      <c r="C4" s="44"/>
    </row>
    <row r="5" spans="1:5" s="43" customFormat="1" ht="14.85" customHeight="1" x14ac:dyDescent="0.25">
      <c r="A5" s="537"/>
      <c r="B5" s="537"/>
      <c r="C5" s="537"/>
    </row>
    <row r="6" spans="1:5" s="43" customFormat="1" ht="20.25" customHeight="1" x14ac:dyDescent="0.25">
      <c r="A6" s="538" t="s">
        <v>80</v>
      </c>
      <c r="B6" s="538"/>
      <c r="C6" s="538"/>
    </row>
    <row r="7" spans="1:5" s="43" customFormat="1" ht="15.75" customHeight="1" x14ac:dyDescent="0.25">
      <c r="A7" s="44" t="s">
        <v>81</v>
      </c>
      <c r="B7" s="539"/>
      <c r="C7" s="539"/>
    </row>
    <row r="8" spans="1:5" s="43" customFormat="1" ht="15.75" customHeight="1" x14ac:dyDescent="0.25">
      <c r="A8" s="44" t="s">
        <v>82</v>
      </c>
      <c r="B8" s="540" t="s">
        <v>2</v>
      </c>
      <c r="C8" s="540"/>
    </row>
    <row r="9" spans="1:5" s="43" customFormat="1" ht="20.100000000000001" customHeight="1" x14ac:dyDescent="0.25">
      <c r="A9" s="44" t="s">
        <v>83</v>
      </c>
      <c r="B9" s="541" t="s">
        <v>144</v>
      </c>
      <c r="C9" s="541"/>
    </row>
    <row r="10" spans="1:5" s="43" customFormat="1" ht="15.75" customHeight="1" x14ac:dyDescent="0.25">
      <c r="A10" s="44" t="s">
        <v>84</v>
      </c>
      <c r="B10" s="541" t="s">
        <v>85</v>
      </c>
      <c r="C10" s="541"/>
    </row>
    <row r="11" spans="1:5" s="43" customFormat="1" ht="21.2" customHeight="1" x14ac:dyDescent="0.25">
      <c r="A11" s="44" t="s">
        <v>86</v>
      </c>
      <c r="B11" s="44"/>
      <c r="C11" s="44"/>
    </row>
    <row r="12" spans="1:5" s="43" customFormat="1" ht="47.25" customHeight="1" x14ac:dyDescent="0.25">
      <c r="A12" s="84" t="s">
        <v>92</v>
      </c>
      <c r="B12" s="84" t="s">
        <v>87</v>
      </c>
      <c r="C12" s="84" t="s">
        <v>88</v>
      </c>
    </row>
    <row r="13" spans="1:5" s="43" customFormat="1" ht="36" customHeight="1" x14ac:dyDescent="0.25">
      <c r="A13" s="45" t="str">
        <f>A1</f>
        <v>Posto de Vigilância Desarmada 44hs Semanais</v>
      </c>
      <c r="B13" s="140" t="s">
        <v>89</v>
      </c>
      <c r="C13" s="85" t="e">
        <f>Proposta!#REF!</f>
        <v>#REF!</v>
      </c>
    </row>
    <row r="14" spans="1:5" s="43" customFormat="1" ht="18.75" customHeight="1" x14ac:dyDescent="0.25">
      <c r="A14" s="538" t="s">
        <v>90</v>
      </c>
      <c r="B14" s="538"/>
      <c r="C14" s="85" t="e">
        <f>SUM(C13)</f>
        <v>#REF!</v>
      </c>
    </row>
    <row r="15" spans="1:5" s="43" customFormat="1" ht="18" customHeight="1" x14ac:dyDescent="0.25">
      <c r="A15" s="542" t="s">
        <v>91</v>
      </c>
      <c r="B15" s="543"/>
      <c r="C15" s="544"/>
    </row>
    <row r="16" spans="1:5" x14ac:dyDescent="0.25">
      <c r="A16" s="545" t="s">
        <v>93</v>
      </c>
      <c r="B16" s="545"/>
      <c r="C16" s="545"/>
    </row>
    <row r="17" spans="1:9" x14ac:dyDescent="0.25">
      <c r="A17" s="534" t="s">
        <v>94</v>
      </c>
      <c r="B17" s="534"/>
      <c r="C17" s="534"/>
    </row>
    <row r="18" spans="1:9" s="38" customFormat="1" x14ac:dyDescent="0.2">
      <c r="A18" s="49" t="s">
        <v>3</v>
      </c>
      <c r="B18" s="549" t="s">
        <v>95</v>
      </c>
      <c r="C18" s="549"/>
    </row>
    <row r="19" spans="1:9" s="38" customFormat="1" x14ac:dyDescent="0.2">
      <c r="A19" s="49" t="s">
        <v>96</v>
      </c>
      <c r="B19" s="550" t="s">
        <v>120</v>
      </c>
      <c r="C19" s="550"/>
    </row>
    <row r="20" spans="1:9" s="38" customFormat="1" x14ac:dyDescent="0.2">
      <c r="A20" s="49" t="s">
        <v>97</v>
      </c>
      <c r="B20" s="551">
        <v>2192.65</v>
      </c>
      <c r="C20" s="551"/>
    </row>
    <row r="21" spans="1:9" s="38" customFormat="1" x14ac:dyDescent="0.2">
      <c r="A21" s="49" t="s">
        <v>98</v>
      </c>
      <c r="B21" s="552" t="s">
        <v>100</v>
      </c>
      <c r="C21" s="552"/>
    </row>
    <row r="22" spans="1:9" s="38" customFormat="1" x14ac:dyDescent="0.2">
      <c r="A22" s="49" t="s">
        <v>99</v>
      </c>
      <c r="B22" s="553">
        <v>43831</v>
      </c>
      <c r="C22" s="553"/>
    </row>
    <row r="23" spans="1:9" s="36" customFormat="1" ht="21" customHeight="1" x14ac:dyDescent="0.25">
      <c r="A23" s="546" t="s">
        <v>102</v>
      </c>
      <c r="B23" s="547"/>
      <c r="C23" s="548"/>
      <c r="D23" s="87"/>
      <c r="E23" s="87"/>
      <c r="F23" s="87"/>
      <c r="G23" s="87"/>
      <c r="H23" s="87"/>
      <c r="I23" s="87"/>
    </row>
    <row r="24" spans="1:9" x14ac:dyDescent="0.25">
      <c r="A24" s="50" t="s">
        <v>4</v>
      </c>
      <c r="B24" s="51"/>
      <c r="C24" s="52"/>
    </row>
    <row r="25" spans="1:9" x14ac:dyDescent="0.25">
      <c r="A25" s="53" t="s">
        <v>5</v>
      </c>
      <c r="B25" s="54"/>
      <c r="C25" s="55" t="s">
        <v>6</v>
      </c>
    </row>
    <row r="26" spans="1:9" x14ac:dyDescent="0.25">
      <c r="A26" s="46" t="s">
        <v>7</v>
      </c>
      <c r="B26" s="47">
        <v>1</v>
      </c>
      <c r="C26" s="48">
        <f>B20</f>
        <v>2192.65</v>
      </c>
    </row>
    <row r="27" spans="1:9" x14ac:dyDescent="0.25">
      <c r="A27" s="46" t="s">
        <v>8</v>
      </c>
      <c r="B27" s="47">
        <v>0.3</v>
      </c>
      <c r="C27" s="48">
        <f>C26*30%</f>
        <v>657.79499999999996</v>
      </c>
    </row>
    <row r="28" spans="1:9" x14ac:dyDescent="0.25">
      <c r="A28" s="46" t="s">
        <v>9</v>
      </c>
      <c r="B28" s="47"/>
      <c r="C28" s="48"/>
    </row>
    <row r="29" spans="1:9" x14ac:dyDescent="0.25">
      <c r="A29" s="46" t="s">
        <v>164</v>
      </c>
      <c r="B29" s="47"/>
      <c r="C29" s="48"/>
    </row>
    <row r="30" spans="1:9" x14ac:dyDescent="0.25">
      <c r="A30" s="46" t="s">
        <v>175</v>
      </c>
      <c r="B30" s="47"/>
      <c r="C30" s="48"/>
      <c r="D30" s="160"/>
    </row>
    <row r="31" spans="1:9" x14ac:dyDescent="0.25">
      <c r="A31" s="46" t="s">
        <v>57</v>
      </c>
      <c r="B31" s="47">
        <f>C31/C26</f>
        <v>0</v>
      </c>
      <c r="C31" s="48">
        <v>0</v>
      </c>
    </row>
    <row r="32" spans="1:9" s="38" customFormat="1" x14ac:dyDescent="0.25">
      <c r="A32" s="79" t="s">
        <v>71</v>
      </c>
      <c r="B32" s="47">
        <f>C32/C26</f>
        <v>0</v>
      </c>
      <c r="C32" s="81"/>
    </row>
    <row r="33" spans="1:9" x14ac:dyDescent="0.25">
      <c r="A33" s="58" t="s">
        <v>10</v>
      </c>
      <c r="B33" s="59"/>
      <c r="C33" s="60">
        <f>SUM(C26:C32)</f>
        <v>2850.4450000000002</v>
      </c>
      <c r="D33" s="38"/>
    </row>
    <row r="34" spans="1:9" s="36" customFormat="1" ht="33" customHeight="1" x14ac:dyDescent="0.25">
      <c r="A34" s="546" t="s">
        <v>103</v>
      </c>
      <c r="B34" s="547"/>
      <c r="C34" s="548"/>
      <c r="D34" s="88"/>
      <c r="E34" s="88"/>
      <c r="F34" s="88"/>
      <c r="G34" s="88"/>
      <c r="H34" s="88"/>
      <c r="I34" s="88"/>
    </row>
    <row r="35" spans="1:9" x14ac:dyDescent="0.25">
      <c r="A35" s="50" t="s">
        <v>30</v>
      </c>
      <c r="B35" s="51"/>
      <c r="C35" s="52"/>
    </row>
    <row r="36" spans="1:9" x14ac:dyDescent="0.25">
      <c r="A36" s="63" t="s">
        <v>31</v>
      </c>
      <c r="B36" s="64"/>
      <c r="C36" s="65"/>
    </row>
    <row r="37" spans="1:9" x14ac:dyDescent="0.25">
      <c r="A37" s="53" t="s">
        <v>128</v>
      </c>
      <c r="B37" s="66"/>
      <c r="C37" s="55" t="s">
        <v>29</v>
      </c>
    </row>
    <row r="38" spans="1:9" x14ac:dyDescent="0.25">
      <c r="A38" s="46" t="s">
        <v>58</v>
      </c>
      <c r="B38" s="47">
        <f>'ES Metodologia'!B5</f>
        <v>8.3299999999999999E-2</v>
      </c>
      <c r="C38" s="48">
        <f>B38*C$33</f>
        <v>237.4420685</v>
      </c>
    </row>
    <row r="39" spans="1:9" x14ac:dyDescent="0.25">
      <c r="A39" s="46" t="s">
        <v>56</v>
      </c>
      <c r="B39" s="67">
        <f>'ES Metodologia'!B6</f>
        <v>2.7799999999999998E-2</v>
      </c>
      <c r="C39" s="68">
        <f>C33*B39</f>
        <v>79.242371000000006</v>
      </c>
    </row>
    <row r="40" spans="1:9" x14ac:dyDescent="0.25">
      <c r="A40" s="69" t="s">
        <v>66</v>
      </c>
      <c r="B40" s="124">
        <f>SUM(B38:B39)</f>
        <v>0.1111</v>
      </c>
      <c r="C40" s="70">
        <f>SUM(C38:C39)</f>
        <v>316.6844395</v>
      </c>
    </row>
    <row r="41" spans="1:9" x14ac:dyDescent="0.25">
      <c r="A41" s="89" t="s">
        <v>1</v>
      </c>
      <c r="B41" s="112">
        <f>SUM(B40:B40)</f>
        <v>0.1111</v>
      </c>
      <c r="C41" s="90">
        <f>SUM(C40:C40)</f>
        <v>316.6844395</v>
      </c>
      <c r="D41" s="38"/>
      <c r="E41" s="111"/>
    </row>
    <row r="42" spans="1:9" s="36" customFormat="1" ht="25.5" customHeight="1" x14ac:dyDescent="0.25">
      <c r="A42" s="546" t="s">
        <v>104</v>
      </c>
      <c r="B42" s="547"/>
      <c r="C42" s="548"/>
      <c r="D42" s="88"/>
      <c r="E42" s="88"/>
      <c r="F42" s="88"/>
      <c r="G42" s="88"/>
      <c r="H42" s="88"/>
      <c r="I42" s="88"/>
    </row>
    <row r="43" spans="1:9" ht="16.5" customHeight="1" x14ac:dyDescent="0.25">
      <c r="A43" s="554" t="s">
        <v>59</v>
      </c>
      <c r="B43" s="554"/>
      <c r="C43" s="554"/>
    </row>
    <row r="44" spans="1:9" x14ac:dyDescent="0.25">
      <c r="A44" s="46" t="s">
        <v>13</v>
      </c>
      <c r="B44" s="47">
        <f>'ES Metodologia'!B12</f>
        <v>0.2</v>
      </c>
      <c r="C44" s="48">
        <f>B44*(C$33+C$40)</f>
        <v>633.42588790000002</v>
      </c>
    </row>
    <row r="45" spans="1:9" x14ac:dyDescent="0.25">
      <c r="A45" s="46" t="s">
        <v>60</v>
      </c>
      <c r="B45" s="47">
        <f>'ES Metodologia'!B13</f>
        <v>2.5000000000000001E-2</v>
      </c>
      <c r="C45" s="48">
        <f t="shared" ref="C45:C51" si="0">B45*(C$33+C$40)</f>
        <v>79.178235987500003</v>
      </c>
    </row>
    <row r="46" spans="1:9" x14ac:dyDescent="0.25">
      <c r="A46" s="46" t="s">
        <v>72</v>
      </c>
      <c r="B46" s="47">
        <f>'ES Metodologia'!B14</f>
        <v>1.4999999999999999E-2</v>
      </c>
      <c r="C46" s="48">
        <f t="shared" si="0"/>
        <v>47.506941592499999</v>
      </c>
    </row>
    <row r="47" spans="1:9" x14ac:dyDescent="0.25">
      <c r="A47" s="46" t="s">
        <v>61</v>
      </c>
      <c r="B47" s="47">
        <f>'ES Metodologia'!B15</f>
        <v>1.4999999999999999E-2</v>
      </c>
      <c r="C47" s="48">
        <f t="shared" si="0"/>
        <v>47.506941592499999</v>
      </c>
    </row>
    <row r="48" spans="1:9" x14ac:dyDescent="0.25">
      <c r="A48" s="46" t="s">
        <v>62</v>
      </c>
      <c r="B48" s="47">
        <f>'ES Metodologia'!B16</f>
        <v>0.01</v>
      </c>
      <c r="C48" s="48">
        <f t="shared" si="0"/>
        <v>31.671294395</v>
      </c>
    </row>
    <row r="49" spans="1:9" x14ac:dyDescent="0.25">
      <c r="A49" s="46" t="s">
        <v>63</v>
      </c>
      <c r="B49" s="47">
        <f>'ES Metodologia'!B17</f>
        <v>6.0000000000000001E-3</v>
      </c>
      <c r="C49" s="48">
        <f t="shared" si="0"/>
        <v>19.002776637</v>
      </c>
    </row>
    <row r="50" spans="1:9" x14ac:dyDescent="0.25">
      <c r="A50" s="46" t="s">
        <v>64</v>
      </c>
      <c r="B50" s="47">
        <f>'ES Metodologia'!B18</f>
        <v>2E-3</v>
      </c>
      <c r="C50" s="48">
        <f t="shared" si="0"/>
        <v>6.3342588790000001</v>
      </c>
    </row>
    <row r="51" spans="1:9" x14ac:dyDescent="0.25">
      <c r="A51" s="46" t="s">
        <v>65</v>
      </c>
      <c r="B51" s="47">
        <f>'ES Metodologia'!B19</f>
        <v>0.08</v>
      </c>
      <c r="C51" s="48">
        <f t="shared" si="0"/>
        <v>253.37035516</v>
      </c>
    </row>
    <row r="52" spans="1:9" x14ac:dyDescent="0.25">
      <c r="A52" s="89" t="s">
        <v>1</v>
      </c>
      <c r="B52" s="112">
        <f>SUM(B44:B51)</f>
        <v>0.35300000000000004</v>
      </c>
      <c r="C52" s="90">
        <f>SUM(C44:C51)</f>
        <v>1117.9966921435</v>
      </c>
      <c r="D52" s="38"/>
    </row>
    <row r="53" spans="1:9" s="36" customFormat="1" ht="33" customHeight="1" x14ac:dyDescent="0.25">
      <c r="A53" s="546" t="s">
        <v>105</v>
      </c>
      <c r="B53" s="547"/>
      <c r="C53" s="548"/>
      <c r="D53" s="91"/>
      <c r="E53" s="91"/>
      <c r="F53" s="91"/>
      <c r="G53" s="91"/>
      <c r="H53" s="91"/>
      <c r="I53" s="91"/>
    </row>
    <row r="54" spans="1:9" x14ac:dyDescent="0.25">
      <c r="A54" s="63" t="s">
        <v>32</v>
      </c>
      <c r="B54" s="54"/>
      <c r="C54" s="55" t="s">
        <v>6</v>
      </c>
    </row>
    <row r="55" spans="1:9" x14ac:dyDescent="0.25">
      <c r="A55" s="46" t="s">
        <v>176</v>
      </c>
      <c r="B55" s="56">
        <v>5.5</v>
      </c>
      <c r="C55" s="48">
        <f>D55-E55</f>
        <v>110.441</v>
      </c>
      <c r="D55" s="37">
        <f>B55*2*22</f>
        <v>242</v>
      </c>
      <c r="E55" s="86">
        <f>(C26)*6%</f>
        <v>131.559</v>
      </c>
    </row>
    <row r="56" spans="1:9" x14ac:dyDescent="0.25">
      <c r="A56" s="46" t="s">
        <v>167</v>
      </c>
      <c r="B56" s="56">
        <v>37.5</v>
      </c>
      <c r="C56" s="48">
        <f>B56*22</f>
        <v>825</v>
      </c>
    </row>
    <row r="57" spans="1:9" x14ac:dyDescent="0.25">
      <c r="A57" s="46" t="s">
        <v>166</v>
      </c>
      <c r="B57" s="56">
        <f>B56*2%</f>
        <v>0.75</v>
      </c>
      <c r="C57" s="48">
        <f>B57*-22</f>
        <v>-16.5</v>
      </c>
    </row>
    <row r="58" spans="1:9" ht="21.75" x14ac:dyDescent="0.25">
      <c r="A58" s="46" t="s">
        <v>157</v>
      </c>
      <c r="B58" s="56"/>
      <c r="C58" s="48">
        <v>0</v>
      </c>
    </row>
    <row r="59" spans="1:9" ht="21.75" x14ac:dyDescent="0.25">
      <c r="A59" s="46" t="s">
        <v>158</v>
      </c>
      <c r="B59" s="56"/>
      <c r="C59" s="48">
        <v>0</v>
      </c>
    </row>
    <row r="60" spans="1:9" ht="30.75" x14ac:dyDescent="0.25">
      <c r="A60" s="46" t="s">
        <v>159</v>
      </c>
      <c r="B60" s="56"/>
      <c r="C60" s="48">
        <v>0</v>
      </c>
    </row>
    <row r="61" spans="1:9" ht="21.75" x14ac:dyDescent="0.25">
      <c r="A61" s="46" t="s">
        <v>170</v>
      </c>
      <c r="B61" s="56"/>
      <c r="C61" s="48">
        <v>0</v>
      </c>
    </row>
    <row r="62" spans="1:9" x14ac:dyDescent="0.25">
      <c r="A62" s="92" t="s">
        <v>1</v>
      </c>
      <c r="B62" s="93"/>
      <c r="C62" s="94">
        <f>SUM(C55:C61)</f>
        <v>918.94100000000003</v>
      </c>
      <c r="D62" s="38"/>
    </row>
    <row r="63" spans="1:9" s="95" customFormat="1" ht="26.25" customHeight="1" x14ac:dyDescent="0.25">
      <c r="A63" s="546" t="s">
        <v>106</v>
      </c>
      <c r="B63" s="547"/>
      <c r="C63" s="548"/>
      <c r="D63" s="87"/>
      <c r="E63" s="87"/>
      <c r="F63" s="87"/>
      <c r="G63" s="87"/>
      <c r="H63" s="87"/>
      <c r="I63" s="87"/>
    </row>
    <row r="64" spans="1:9" x14ac:dyDescent="0.25">
      <c r="A64" s="63" t="s">
        <v>33</v>
      </c>
      <c r="B64" s="64"/>
      <c r="C64" s="65"/>
    </row>
    <row r="65" spans="1:5" x14ac:dyDescent="0.25">
      <c r="A65" s="139" t="s">
        <v>73</v>
      </c>
      <c r="B65" s="139"/>
      <c r="C65" s="55" t="s">
        <v>29</v>
      </c>
    </row>
    <row r="66" spans="1:5" x14ac:dyDescent="0.25">
      <c r="A66" s="71" t="s">
        <v>34</v>
      </c>
      <c r="B66" s="72">
        <f>B40</f>
        <v>0.1111</v>
      </c>
      <c r="C66" s="48">
        <f>C41</f>
        <v>316.6844395</v>
      </c>
    </row>
    <row r="67" spans="1:5" s="39" customFormat="1" x14ac:dyDescent="0.25">
      <c r="A67" s="71" t="s">
        <v>115</v>
      </c>
      <c r="B67" s="72">
        <f>B52</f>
        <v>0.35300000000000004</v>
      </c>
      <c r="C67" s="48">
        <f>C52</f>
        <v>1117.9966921435</v>
      </c>
    </row>
    <row r="68" spans="1:5" x14ac:dyDescent="0.25">
      <c r="A68" s="71" t="s">
        <v>35</v>
      </c>
      <c r="B68" s="72"/>
      <c r="C68" s="48">
        <f>C62</f>
        <v>918.94100000000003</v>
      </c>
    </row>
    <row r="69" spans="1:5" x14ac:dyDescent="0.25">
      <c r="A69" s="138" t="s">
        <v>1</v>
      </c>
      <c r="B69" s="73">
        <f>SUM(B66:B68)</f>
        <v>0.46410000000000007</v>
      </c>
      <c r="C69" s="60">
        <f>SUM(C66:C68)</f>
        <v>2353.6221316435003</v>
      </c>
      <c r="D69" s="38"/>
      <c r="E69" s="111"/>
    </row>
    <row r="70" spans="1:5" s="38" customFormat="1" ht="9.75" customHeight="1" x14ac:dyDescent="0.25">
      <c r="A70" s="74"/>
      <c r="B70" s="75"/>
      <c r="C70" s="76"/>
    </row>
    <row r="71" spans="1:5" s="39" customFormat="1" x14ac:dyDescent="0.25">
      <c r="A71" s="50" t="s">
        <v>36</v>
      </c>
      <c r="B71" s="51"/>
      <c r="C71" s="52"/>
    </row>
    <row r="72" spans="1:5" x14ac:dyDescent="0.25">
      <c r="A72" s="53" t="s">
        <v>37</v>
      </c>
      <c r="B72" s="66"/>
      <c r="C72" s="55" t="s">
        <v>29</v>
      </c>
    </row>
    <row r="73" spans="1:5" x14ac:dyDescent="0.25">
      <c r="A73" s="46" t="s">
        <v>14</v>
      </c>
      <c r="B73" s="47">
        <f>'ES Metodologia'!B24</f>
        <v>8.3333333333333328E-4</v>
      </c>
      <c r="C73" s="48">
        <f t="shared" ref="C73:C78" si="1">B73*C$33</f>
        <v>2.3753708333333332</v>
      </c>
      <c r="E73" s="115"/>
    </row>
    <row r="74" spans="1:5" x14ac:dyDescent="0.25">
      <c r="A74" s="77" t="s">
        <v>15</v>
      </c>
      <c r="B74" s="47">
        <f>'ES Metodologia'!B25</f>
        <v>6.666666666666667E-5</v>
      </c>
      <c r="C74" s="48">
        <f>B74*C$33</f>
        <v>0.19002966666666668</v>
      </c>
    </row>
    <row r="75" spans="1:5" s="1" customFormat="1" x14ac:dyDescent="0.25">
      <c r="A75" s="77" t="s">
        <v>121</v>
      </c>
      <c r="B75" s="47">
        <f>'ES Metodologia'!B26</f>
        <v>1.6000000000000003E-3</v>
      </c>
      <c r="C75" s="48">
        <f>B75*C$33</f>
        <v>4.5607120000000014</v>
      </c>
    </row>
    <row r="76" spans="1:5" s="38" customFormat="1" x14ac:dyDescent="0.25">
      <c r="A76" s="79" t="s">
        <v>122</v>
      </c>
      <c r="B76" s="80">
        <f>'ES Metodologia'!B27</f>
        <v>3.8888888888888892E-4</v>
      </c>
      <c r="C76" s="81">
        <f t="shared" si="1"/>
        <v>1.1085063888888891</v>
      </c>
    </row>
    <row r="77" spans="1:5" x14ac:dyDescent="0.25">
      <c r="A77" s="77" t="s">
        <v>123</v>
      </c>
      <c r="B77" s="47">
        <f>'ES Metodologia'!B28</f>
        <v>1.372777777777778E-4</v>
      </c>
      <c r="C77" s="48">
        <f t="shared" si="1"/>
        <v>0.39130275527777786</v>
      </c>
    </row>
    <row r="78" spans="1:5" x14ac:dyDescent="0.25">
      <c r="A78" s="77" t="s">
        <v>124</v>
      </c>
      <c r="B78" s="47">
        <f>'ES Metodologia'!B29</f>
        <v>3.2750666666666657E-2</v>
      </c>
      <c r="C78" s="48">
        <f t="shared" si="1"/>
        <v>93.35397404666665</v>
      </c>
    </row>
    <row r="79" spans="1:5" x14ac:dyDescent="0.25">
      <c r="A79" s="138" t="s">
        <v>16</v>
      </c>
      <c r="B79" s="73">
        <f>SUM(B73:B78)</f>
        <v>3.5776833333333327E-2</v>
      </c>
      <c r="C79" s="60">
        <f>SUM(C73:C78)</f>
        <v>101.97989569083332</v>
      </c>
      <c r="D79" s="38"/>
    </row>
    <row r="80" spans="1:5" ht="6" customHeight="1" x14ac:dyDescent="0.25">
      <c r="A80" s="61"/>
      <c r="B80" s="67"/>
      <c r="C80" s="62"/>
    </row>
    <row r="81" spans="1:9" s="39" customFormat="1" x14ac:dyDescent="0.25">
      <c r="A81" s="50" t="s">
        <v>38</v>
      </c>
      <c r="B81" s="51"/>
      <c r="C81" s="52"/>
    </row>
    <row r="82" spans="1:9" x14ac:dyDescent="0.25">
      <c r="A82" s="53" t="s">
        <v>148</v>
      </c>
      <c r="B82" s="66"/>
      <c r="C82" s="55" t="s">
        <v>29</v>
      </c>
    </row>
    <row r="83" spans="1:9" x14ac:dyDescent="0.25">
      <c r="A83" s="46" t="s">
        <v>149</v>
      </c>
      <c r="B83" s="80">
        <f>'ES Metodologia'!B34</f>
        <v>8.3299999999999999E-2</v>
      </c>
      <c r="C83" s="48">
        <f t="shared" ref="C83:C88" si="2">B83*C$33</f>
        <v>237.4420685</v>
      </c>
    </row>
    <row r="84" spans="1:9" x14ac:dyDescent="0.25">
      <c r="A84" s="46" t="s">
        <v>150</v>
      </c>
      <c r="B84" s="47">
        <f>'ES Metodologia'!B35</f>
        <v>2.0000000000000001E-4</v>
      </c>
      <c r="C84" s="48">
        <f t="shared" si="2"/>
        <v>0.57008900000000007</v>
      </c>
    </row>
    <row r="85" spans="1:9" x14ac:dyDescent="0.25">
      <c r="A85" s="46" t="s">
        <v>151</v>
      </c>
      <c r="B85" s="47">
        <f>'ES Metodologia'!B36</f>
        <v>2.0000000000000001E-4</v>
      </c>
      <c r="C85" s="48">
        <f t="shared" si="2"/>
        <v>0.57008900000000007</v>
      </c>
    </row>
    <row r="86" spans="1:9" x14ac:dyDescent="0.25">
      <c r="A86" s="46" t="s">
        <v>152</v>
      </c>
      <c r="B86" s="47">
        <f>'ES Metodologia'!B37</f>
        <v>4.1666666666666664E-4</v>
      </c>
      <c r="C86" s="48">
        <f t="shared" si="2"/>
        <v>1.1876854166666666</v>
      </c>
    </row>
    <row r="87" spans="1:9" x14ac:dyDescent="0.25">
      <c r="A87" s="46" t="s">
        <v>153</v>
      </c>
      <c r="B87" s="47">
        <f>'ES Metodologia'!B38</f>
        <v>2.0063888888888887E-4</v>
      </c>
      <c r="C87" s="48">
        <f t="shared" si="2"/>
        <v>0.57191011763888888</v>
      </c>
    </row>
    <row r="88" spans="1:9" ht="15.75" customHeight="1" x14ac:dyDescent="0.25">
      <c r="A88" s="150" t="s">
        <v>154</v>
      </c>
      <c r="B88" s="152">
        <f>'ES Metodologia'!B39</f>
        <v>0</v>
      </c>
      <c r="C88" s="151">
        <f t="shared" si="2"/>
        <v>0</v>
      </c>
    </row>
    <row r="89" spans="1:9" ht="15" customHeight="1" x14ac:dyDescent="0.25">
      <c r="A89" s="82" t="s">
        <v>66</v>
      </c>
      <c r="B89" s="67">
        <f>SUM(B83:B88)</f>
        <v>8.4317305555555555E-2</v>
      </c>
      <c r="C89" s="68">
        <f>SUM(C83:C88)</f>
        <v>240.34184203430553</v>
      </c>
    </row>
    <row r="90" spans="1:9" ht="15" customHeight="1" x14ac:dyDescent="0.25">
      <c r="A90" s="138" t="s">
        <v>1</v>
      </c>
      <c r="B90" s="73">
        <f>SUM(B89:B89)</f>
        <v>8.4317305555555555E-2</v>
      </c>
      <c r="C90" s="60">
        <f>SUM(C89:C89)</f>
        <v>240.34184203430553</v>
      </c>
      <c r="E90" s="111"/>
    </row>
    <row r="91" spans="1:9" x14ac:dyDescent="0.25">
      <c r="A91" s="53" t="s">
        <v>40</v>
      </c>
      <c r="B91" s="66"/>
      <c r="C91" s="55" t="s">
        <v>6</v>
      </c>
    </row>
    <row r="92" spans="1:9" x14ac:dyDescent="0.25">
      <c r="A92" s="46" t="s">
        <v>41</v>
      </c>
      <c r="B92" s="47"/>
      <c r="C92" s="197">
        <v>0</v>
      </c>
    </row>
    <row r="93" spans="1:9" ht="6" customHeight="1" x14ac:dyDescent="0.25">
      <c r="A93" s="61"/>
      <c r="B93" s="67"/>
      <c r="C93" s="62"/>
    </row>
    <row r="94" spans="1:9" ht="15" customHeight="1" x14ac:dyDescent="0.25">
      <c r="A94" s="138" t="s">
        <v>45</v>
      </c>
      <c r="B94" s="73"/>
      <c r="C94" s="60">
        <f>SUM(C91:C92)</f>
        <v>0</v>
      </c>
    </row>
    <row r="95" spans="1:9" s="36" customFormat="1" ht="33" customHeight="1" x14ac:dyDescent="0.25">
      <c r="A95" s="546" t="s">
        <v>107</v>
      </c>
      <c r="B95" s="547"/>
      <c r="C95" s="548"/>
      <c r="D95" s="96"/>
      <c r="E95" s="96"/>
      <c r="F95" s="96"/>
      <c r="G95" s="96"/>
      <c r="H95" s="96"/>
      <c r="I95" s="96"/>
    </row>
    <row r="96" spans="1:9" x14ac:dyDescent="0.25">
      <c r="A96" s="63" t="s">
        <v>42</v>
      </c>
      <c r="B96" s="64"/>
      <c r="C96" s="65"/>
    </row>
    <row r="97" spans="1:5" x14ac:dyDescent="0.25">
      <c r="A97" s="139" t="s">
        <v>17</v>
      </c>
      <c r="B97" s="139"/>
      <c r="C97" s="55" t="s">
        <v>6</v>
      </c>
    </row>
    <row r="98" spans="1:5" x14ac:dyDescent="0.25">
      <c r="A98" s="71" t="s">
        <v>43</v>
      </c>
      <c r="B98" s="72">
        <f>'44hs D'!B90</f>
        <v>8.4317305555555555E-2</v>
      </c>
      <c r="C98" s="48">
        <f>C90</f>
        <v>240.34184203430553</v>
      </c>
    </row>
    <row r="99" spans="1:5" s="39" customFormat="1" x14ac:dyDescent="0.25">
      <c r="A99" s="71" t="s">
        <v>44</v>
      </c>
      <c r="B99" s="72"/>
      <c r="C99" s="68">
        <f>C92</f>
        <v>0</v>
      </c>
    </row>
    <row r="100" spans="1:5" x14ac:dyDescent="0.25">
      <c r="A100" s="138" t="s">
        <v>1</v>
      </c>
      <c r="B100" s="73">
        <f>SUM(B98:B99)</f>
        <v>8.4317305555555555E-2</v>
      </c>
      <c r="C100" s="60">
        <f>SUM(C98:C99)</f>
        <v>240.34184203430553</v>
      </c>
    </row>
    <row r="101" spans="1:5" s="38" customFormat="1" x14ac:dyDescent="0.25">
      <c r="A101" s="74"/>
      <c r="B101" s="75"/>
      <c r="C101" s="76"/>
    </row>
    <row r="102" spans="1:5" s="39" customFormat="1" x14ac:dyDescent="0.25">
      <c r="A102" s="50" t="s">
        <v>46</v>
      </c>
      <c r="B102" s="51"/>
      <c r="C102" s="52"/>
    </row>
    <row r="103" spans="1:5" x14ac:dyDescent="0.25">
      <c r="A103" s="53" t="s">
        <v>47</v>
      </c>
      <c r="B103" s="54"/>
      <c r="C103" s="55" t="s">
        <v>6</v>
      </c>
    </row>
    <row r="104" spans="1:5" x14ac:dyDescent="0.25">
      <c r="A104" s="46" t="s">
        <v>11</v>
      </c>
      <c r="B104" s="56"/>
      <c r="C104" s="48">
        <f>'Uniformes -IV'!G11</f>
        <v>560.82000000000005</v>
      </c>
    </row>
    <row r="105" spans="1:5" x14ac:dyDescent="0.25">
      <c r="A105" s="46" t="s">
        <v>190</v>
      </c>
      <c r="B105" s="56"/>
      <c r="C105" s="48" t="e">
        <f>'Equipamentos-IV'!#REF!</f>
        <v>#REF!</v>
      </c>
    </row>
    <row r="106" spans="1:5" x14ac:dyDescent="0.25">
      <c r="A106" s="46" t="s">
        <v>146</v>
      </c>
      <c r="B106" s="56"/>
      <c r="C106" s="48">
        <v>0</v>
      </c>
    </row>
    <row r="107" spans="1:5" x14ac:dyDescent="0.25">
      <c r="A107" s="46" t="s">
        <v>145</v>
      </c>
      <c r="B107" s="56"/>
      <c r="C107" s="48">
        <v>0</v>
      </c>
    </row>
    <row r="108" spans="1:5" x14ac:dyDescent="0.25">
      <c r="A108" s="138" t="s">
        <v>12</v>
      </c>
      <c r="B108" s="73"/>
      <c r="C108" s="60" t="e">
        <f>SUM(C104:C107)</f>
        <v>#REF!</v>
      </c>
    </row>
    <row r="109" spans="1:5" x14ac:dyDescent="0.25">
      <c r="A109" s="61"/>
      <c r="B109" s="57"/>
      <c r="C109" s="62"/>
    </row>
    <row r="110" spans="1:5" x14ac:dyDescent="0.25">
      <c r="A110" s="50" t="s">
        <v>48</v>
      </c>
      <c r="B110" s="51"/>
      <c r="C110" s="52"/>
    </row>
    <row r="111" spans="1:5" x14ac:dyDescent="0.25">
      <c r="A111" s="53" t="s">
        <v>49</v>
      </c>
      <c r="B111" s="54"/>
      <c r="C111" s="83" t="s">
        <v>6</v>
      </c>
    </row>
    <row r="112" spans="1:5" x14ac:dyDescent="0.25">
      <c r="A112" s="46" t="s">
        <v>18</v>
      </c>
      <c r="B112" s="47">
        <v>0.01</v>
      </c>
      <c r="C112" s="48" t="e">
        <f>C128*B112</f>
        <v>#REF!</v>
      </c>
      <c r="D112" s="86"/>
      <c r="E112" s="132"/>
    </row>
    <row r="113" spans="1:5" x14ac:dyDescent="0.25">
      <c r="A113" s="46" t="s">
        <v>19</v>
      </c>
      <c r="B113" s="47">
        <v>0.01</v>
      </c>
      <c r="C113" s="48" t="e">
        <f>(C128+C112)*B113</f>
        <v>#REF!</v>
      </c>
      <c r="E113" s="132"/>
    </row>
    <row r="114" spans="1:5" x14ac:dyDescent="0.25">
      <c r="A114" s="46" t="s">
        <v>20</v>
      </c>
      <c r="B114" s="47">
        <f>SUM(B115:B117)</f>
        <v>8.6499999999999994E-2</v>
      </c>
      <c r="C114" s="48" t="e">
        <f>C130*B114</f>
        <v>#REF!</v>
      </c>
      <c r="E114" s="132"/>
    </row>
    <row r="115" spans="1:5" x14ac:dyDescent="0.25">
      <c r="A115" s="46" t="s">
        <v>108</v>
      </c>
      <c r="B115" s="113">
        <v>3.6499999999999998E-2</v>
      </c>
      <c r="C115" s="114" t="e">
        <f>C130*B115</f>
        <v>#REF!</v>
      </c>
    </row>
    <row r="116" spans="1:5" x14ac:dyDescent="0.25">
      <c r="A116" s="46" t="s">
        <v>21</v>
      </c>
      <c r="B116" s="113">
        <v>0</v>
      </c>
      <c r="C116" s="114"/>
      <c r="E116" s="132"/>
    </row>
    <row r="117" spans="1:5" x14ac:dyDescent="0.25">
      <c r="A117" s="46" t="s">
        <v>22</v>
      </c>
      <c r="B117" s="113">
        <v>0.05</v>
      </c>
      <c r="C117" s="114" t="e">
        <f>C132*B117</f>
        <v>#REF!</v>
      </c>
      <c r="E117" s="132"/>
    </row>
    <row r="118" spans="1:5" x14ac:dyDescent="0.25">
      <c r="A118" s="46" t="s">
        <v>23</v>
      </c>
      <c r="B118" s="56"/>
      <c r="C118" s="48"/>
    </row>
    <row r="119" spans="1:5" x14ac:dyDescent="0.25">
      <c r="A119" s="138" t="s">
        <v>24</v>
      </c>
      <c r="B119" s="73"/>
      <c r="C119" s="60" t="e">
        <f>SUM(C112:C114)</f>
        <v>#REF!</v>
      </c>
      <c r="E119" s="132"/>
    </row>
    <row r="120" spans="1:5" x14ac:dyDescent="0.25">
      <c r="A120" s="61"/>
      <c r="B120" s="57"/>
      <c r="C120" s="62"/>
    </row>
    <row r="121" spans="1:5" x14ac:dyDescent="0.25">
      <c r="A121" s="556" t="s">
        <v>25</v>
      </c>
      <c r="B121" s="556"/>
      <c r="C121" s="556"/>
    </row>
    <row r="122" spans="1:5" x14ac:dyDescent="0.25">
      <c r="A122" s="557" t="s">
        <v>26</v>
      </c>
      <c r="B122" s="557"/>
      <c r="C122" s="55" t="s">
        <v>6</v>
      </c>
    </row>
    <row r="123" spans="1:5" x14ac:dyDescent="0.25">
      <c r="A123" s="558" t="s">
        <v>27</v>
      </c>
      <c r="B123" s="558"/>
      <c r="C123" s="62">
        <f>C33</f>
        <v>2850.4450000000002</v>
      </c>
    </row>
    <row r="124" spans="1:5" x14ac:dyDescent="0.25">
      <c r="A124" s="558" t="s">
        <v>50</v>
      </c>
      <c r="B124" s="558"/>
      <c r="C124" s="62">
        <f>C69</f>
        <v>2353.6221316435003</v>
      </c>
    </row>
    <row r="125" spans="1:5" x14ac:dyDescent="0.25">
      <c r="A125" s="558" t="s">
        <v>51</v>
      </c>
      <c r="B125" s="558"/>
      <c r="C125" s="62">
        <f>C79</f>
        <v>101.97989569083332</v>
      </c>
    </row>
    <row r="126" spans="1:5" x14ac:dyDescent="0.25">
      <c r="A126" s="558" t="s">
        <v>52</v>
      </c>
      <c r="B126" s="558"/>
      <c r="C126" s="62">
        <f>C100</f>
        <v>240.34184203430553</v>
      </c>
    </row>
    <row r="127" spans="1:5" x14ac:dyDescent="0.25">
      <c r="A127" s="558" t="s">
        <v>53</v>
      </c>
      <c r="B127" s="558"/>
      <c r="C127" s="62" t="e">
        <f>C108</f>
        <v>#REF!</v>
      </c>
    </row>
    <row r="128" spans="1:5" x14ac:dyDescent="0.25">
      <c r="A128" s="559" t="s">
        <v>55</v>
      </c>
      <c r="B128" s="559"/>
      <c r="C128" s="62" t="e">
        <f>SUM(C123:C127)</f>
        <v>#REF!</v>
      </c>
    </row>
    <row r="129" spans="1:5" x14ac:dyDescent="0.25">
      <c r="A129" s="558" t="s">
        <v>54</v>
      </c>
      <c r="B129" s="558"/>
      <c r="C129" s="62" t="e">
        <f>C119</f>
        <v>#REF!</v>
      </c>
    </row>
    <row r="130" spans="1:5" ht="15.75" customHeight="1" x14ac:dyDescent="0.25">
      <c r="A130" s="555" t="s">
        <v>28</v>
      </c>
      <c r="B130" s="555"/>
      <c r="C130" s="60" t="e">
        <f>SUM(C128:C129)</f>
        <v>#REF!</v>
      </c>
      <c r="D130" s="86"/>
    </row>
    <row r="131" spans="1:5" x14ac:dyDescent="0.25">
      <c r="A131" s="560"/>
      <c r="B131" s="561"/>
      <c r="C131" s="562"/>
    </row>
    <row r="132" spans="1:5" ht="15.75" customHeight="1" x14ac:dyDescent="0.25">
      <c r="A132" s="555" t="s">
        <v>70</v>
      </c>
      <c r="B132" s="555"/>
      <c r="C132" s="60" t="e">
        <f>C130</f>
        <v>#REF!</v>
      </c>
      <c r="E132" s="86"/>
    </row>
    <row r="133" spans="1:5" x14ac:dyDescent="0.25">
      <c r="B133" s="37"/>
      <c r="C133" s="37"/>
    </row>
    <row r="134" spans="1:5" x14ac:dyDescent="0.25">
      <c r="B134" s="37"/>
      <c r="C134" s="37"/>
    </row>
    <row r="135" spans="1:5" x14ac:dyDescent="0.25">
      <c r="B135" s="37"/>
      <c r="C135" s="37"/>
    </row>
    <row r="136" spans="1:5" x14ac:dyDescent="0.25">
      <c r="B136" s="37"/>
      <c r="C136" s="37"/>
    </row>
    <row r="137" spans="1:5" x14ac:dyDescent="0.25">
      <c r="B137" s="37"/>
      <c r="C137" s="37"/>
    </row>
    <row r="138" spans="1:5" x14ac:dyDescent="0.25">
      <c r="B138" s="37"/>
      <c r="C138" s="37"/>
    </row>
    <row r="139" spans="1:5" x14ac:dyDescent="0.25">
      <c r="B139" s="37"/>
      <c r="C139" s="37"/>
    </row>
    <row r="140" spans="1:5" x14ac:dyDescent="0.25">
      <c r="B140" s="37"/>
      <c r="C140" s="37"/>
    </row>
    <row r="141" spans="1:5" x14ac:dyDescent="0.25">
      <c r="B141" s="37"/>
      <c r="C141" s="37"/>
    </row>
    <row r="142" spans="1:5" x14ac:dyDescent="0.25">
      <c r="A142" s="40"/>
      <c r="B142" s="37"/>
      <c r="C142" s="37"/>
    </row>
    <row r="143" spans="1:5" x14ac:dyDescent="0.25">
      <c r="B143" s="37"/>
      <c r="C143" s="37"/>
    </row>
    <row r="144" spans="1:5" x14ac:dyDescent="0.25">
      <c r="B144" s="37"/>
      <c r="C144" s="37"/>
    </row>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sheetData>
  <mergeCells count="36">
    <mergeCell ref="A132:B132"/>
    <mergeCell ref="A121:C121"/>
    <mergeCell ref="A122:B122"/>
    <mergeCell ref="A123:B123"/>
    <mergeCell ref="A124:B124"/>
    <mergeCell ref="A125:B125"/>
    <mergeCell ref="A126:B126"/>
    <mergeCell ref="A127:B127"/>
    <mergeCell ref="A128:B128"/>
    <mergeCell ref="A129:B129"/>
    <mergeCell ref="A130:B130"/>
    <mergeCell ref="A131:C131"/>
    <mergeCell ref="A95:C95"/>
    <mergeCell ref="B18:C18"/>
    <mergeCell ref="B19:C19"/>
    <mergeCell ref="B20:C20"/>
    <mergeCell ref="B21:C21"/>
    <mergeCell ref="B22:C22"/>
    <mergeCell ref="A23:C23"/>
    <mergeCell ref="A34:C34"/>
    <mergeCell ref="A42:C42"/>
    <mergeCell ref="A43:C43"/>
    <mergeCell ref="A53:C53"/>
    <mergeCell ref="A63:C63"/>
    <mergeCell ref="A17:C17"/>
    <mergeCell ref="A1:C1"/>
    <mergeCell ref="A2:C2"/>
    <mergeCell ref="A5:C5"/>
    <mergeCell ref="A6:C6"/>
    <mergeCell ref="B7:C7"/>
    <mergeCell ref="B8:C8"/>
    <mergeCell ref="B9:C9"/>
    <mergeCell ref="B10:C10"/>
    <mergeCell ref="A14:B14"/>
    <mergeCell ref="A15:C15"/>
    <mergeCell ref="A16:C16"/>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224"/>
  <sheetViews>
    <sheetView showGridLines="0" view="pageBreakPreview" topLeftCell="A34" zoomScale="106" zoomScaleNormal="100" zoomScaleSheetLayoutView="106" workbookViewId="0">
      <selection activeCell="C35" sqref="C1:C1048576"/>
    </sheetView>
  </sheetViews>
  <sheetFormatPr defaultRowHeight="12.75" x14ac:dyDescent="0.25"/>
  <cols>
    <col min="1" max="1" width="92.7109375" style="37" customWidth="1"/>
    <col min="2" max="2" width="12.7109375" style="41" customWidth="1"/>
    <col min="3" max="4" width="23.7109375" style="41" customWidth="1"/>
    <col min="5" max="5" width="9.42578125" style="37" bestFit="1" customWidth="1"/>
    <col min="6" max="6" width="18.42578125" style="37" customWidth="1"/>
    <col min="7" max="16384" width="9.140625" style="37"/>
  </cols>
  <sheetData>
    <row r="1" spans="1:6" s="43" customFormat="1" ht="27" customHeight="1" x14ac:dyDescent="0.25">
      <c r="A1" s="535" t="s">
        <v>227</v>
      </c>
      <c r="B1" s="535"/>
      <c r="C1" s="535"/>
      <c r="D1" s="420"/>
      <c r="E1" s="42"/>
      <c r="F1" s="42"/>
    </row>
    <row r="2" spans="1:6" s="43" customFormat="1" ht="31.5" customHeight="1" x14ac:dyDescent="0.25">
      <c r="A2" s="536" t="s">
        <v>101</v>
      </c>
      <c r="B2" s="536"/>
      <c r="C2" s="536"/>
      <c r="D2" s="421"/>
    </row>
    <row r="3" spans="1:6" s="43" customFormat="1" ht="15.75" customHeight="1" x14ac:dyDescent="0.25">
      <c r="A3" s="44" t="s">
        <v>479</v>
      </c>
      <c r="B3" s="44"/>
      <c r="C3" s="44"/>
      <c r="D3" s="44"/>
    </row>
    <row r="4" spans="1:6" s="43" customFormat="1" ht="15.75" customHeight="1" x14ac:dyDescent="0.25">
      <c r="A4" s="44" t="s">
        <v>482</v>
      </c>
      <c r="B4" s="44"/>
      <c r="C4" s="44"/>
      <c r="D4" s="44"/>
    </row>
    <row r="5" spans="1:6" s="43" customFormat="1" ht="14.85" customHeight="1" x14ac:dyDescent="0.25">
      <c r="A5" s="537"/>
      <c r="B5" s="537"/>
      <c r="C5" s="537"/>
      <c r="D5" s="422"/>
    </row>
    <row r="6" spans="1:6" s="43" customFormat="1" ht="20.25" customHeight="1" x14ac:dyDescent="0.25">
      <c r="A6" s="538" t="s">
        <v>80</v>
      </c>
      <c r="B6" s="538"/>
      <c r="C6" s="538"/>
      <c r="D6" s="423"/>
    </row>
    <row r="7" spans="1:6" s="43" customFormat="1" ht="15.75" customHeight="1" x14ac:dyDescent="0.25">
      <c r="A7" s="44" t="s">
        <v>81</v>
      </c>
      <c r="B7" s="539"/>
      <c r="C7" s="539"/>
      <c r="D7" s="424"/>
    </row>
    <row r="8" spans="1:6" s="43" customFormat="1" ht="15.75" customHeight="1" x14ac:dyDescent="0.25">
      <c r="A8" s="44" t="s">
        <v>82</v>
      </c>
      <c r="B8" s="540" t="s">
        <v>2</v>
      </c>
      <c r="C8" s="540"/>
      <c r="D8" s="425"/>
    </row>
    <row r="9" spans="1:6" s="43" customFormat="1" ht="20.100000000000001" customHeight="1" x14ac:dyDescent="0.25">
      <c r="A9" s="44" t="s">
        <v>83</v>
      </c>
      <c r="B9" s="541" t="s">
        <v>565</v>
      </c>
      <c r="C9" s="541"/>
      <c r="D9" s="426"/>
    </row>
    <row r="10" spans="1:6" s="43" customFormat="1" ht="15.75" customHeight="1" x14ac:dyDescent="0.25">
      <c r="A10" s="44" t="s">
        <v>84</v>
      </c>
      <c r="B10" s="541" t="s">
        <v>85</v>
      </c>
      <c r="C10" s="541"/>
      <c r="D10" s="426"/>
    </row>
    <row r="11" spans="1:6" s="43" customFormat="1" ht="21.2" customHeight="1" x14ac:dyDescent="0.25">
      <c r="A11" s="44" t="s">
        <v>86</v>
      </c>
      <c r="B11" s="44"/>
      <c r="C11" s="431">
        <v>2023</v>
      </c>
      <c r="D11" s="431">
        <v>2024</v>
      </c>
    </row>
    <row r="12" spans="1:6" s="43" customFormat="1" ht="47.25" customHeight="1" x14ac:dyDescent="0.25">
      <c r="A12" s="84" t="s">
        <v>92</v>
      </c>
      <c r="B12" s="84" t="s">
        <v>87</v>
      </c>
      <c r="C12" s="84" t="s">
        <v>88</v>
      </c>
      <c r="D12" s="84" t="s">
        <v>88</v>
      </c>
    </row>
    <row r="13" spans="1:6" s="43" customFormat="1" ht="36" customHeight="1" x14ac:dyDescent="0.25">
      <c r="A13" s="45" t="str">
        <f>A1</f>
        <v>Posto de Vigilância  Diurna Armada 12x36hs - 2a. a Domingo</v>
      </c>
      <c r="B13" s="140" t="s">
        <v>89</v>
      </c>
      <c r="C13" s="85">
        <v>2</v>
      </c>
      <c r="D13" s="85">
        <v>2</v>
      </c>
    </row>
    <row r="14" spans="1:6" s="43" customFormat="1" ht="18.75" customHeight="1" x14ac:dyDescent="0.25">
      <c r="A14" s="538" t="s">
        <v>90</v>
      </c>
      <c r="B14" s="538"/>
      <c r="C14" s="85">
        <f>SUM(C13)</f>
        <v>2</v>
      </c>
      <c r="D14" s="85">
        <f>SUM(D13)</f>
        <v>2</v>
      </c>
    </row>
    <row r="15" spans="1:6" s="43" customFormat="1" ht="18" customHeight="1" x14ac:dyDescent="0.25">
      <c r="A15" s="568"/>
      <c r="B15" s="569"/>
      <c r="C15" s="569"/>
      <c r="D15" s="569"/>
    </row>
    <row r="16" spans="1:6" x14ac:dyDescent="0.25">
      <c r="A16" s="563" t="s">
        <v>93</v>
      </c>
      <c r="B16" s="564"/>
      <c r="C16" s="564"/>
      <c r="D16" s="565"/>
    </row>
    <row r="17" spans="1:10" x14ac:dyDescent="0.25">
      <c r="A17" s="566" t="s">
        <v>94</v>
      </c>
      <c r="B17" s="567"/>
      <c r="C17" s="442">
        <v>2023</v>
      </c>
      <c r="D17" s="441">
        <v>2024</v>
      </c>
    </row>
    <row r="18" spans="1:10" s="38" customFormat="1" x14ac:dyDescent="0.2">
      <c r="A18" s="49" t="s">
        <v>3</v>
      </c>
      <c r="B18" s="432"/>
      <c r="C18" s="432" t="s">
        <v>95</v>
      </c>
      <c r="D18" s="432" t="s">
        <v>95</v>
      </c>
    </row>
    <row r="19" spans="1:10" s="38" customFormat="1" x14ac:dyDescent="0.2">
      <c r="A19" s="49" t="s">
        <v>96</v>
      </c>
      <c r="B19" s="433"/>
      <c r="C19" s="433" t="s">
        <v>120</v>
      </c>
      <c r="D19" s="433" t="s">
        <v>120</v>
      </c>
    </row>
    <row r="20" spans="1:10" s="38" customFormat="1" x14ac:dyDescent="0.2">
      <c r="A20" s="49" t="s">
        <v>97</v>
      </c>
      <c r="B20" s="434"/>
      <c r="C20" s="434">
        <v>2593.73</v>
      </c>
      <c r="D20" s="434">
        <v>2723.41</v>
      </c>
    </row>
    <row r="21" spans="1:10" s="38" customFormat="1" x14ac:dyDescent="0.2">
      <c r="A21" s="49" t="s">
        <v>98</v>
      </c>
      <c r="B21" s="435"/>
      <c r="C21" s="435" t="s">
        <v>100</v>
      </c>
      <c r="D21" s="435" t="s">
        <v>100</v>
      </c>
    </row>
    <row r="22" spans="1:10" s="38" customFormat="1" x14ac:dyDescent="0.2">
      <c r="A22" s="49" t="s">
        <v>99</v>
      </c>
      <c r="B22" s="436"/>
      <c r="C22" s="436">
        <v>44927</v>
      </c>
      <c r="D22" s="436">
        <v>45292</v>
      </c>
    </row>
    <row r="23" spans="1:10" s="36" customFormat="1" ht="21" customHeight="1" x14ac:dyDescent="0.25">
      <c r="A23" s="546" t="s">
        <v>102</v>
      </c>
      <c r="B23" s="547"/>
      <c r="C23" s="548"/>
      <c r="D23" s="427"/>
      <c r="E23" s="87"/>
      <c r="F23" s="87"/>
      <c r="G23" s="87"/>
      <c r="H23" s="87"/>
      <c r="I23" s="87"/>
      <c r="J23" s="87"/>
    </row>
    <row r="24" spans="1:10" x14ac:dyDescent="0.25">
      <c r="A24" s="50" t="s">
        <v>4</v>
      </c>
      <c r="B24" s="51"/>
      <c r="C24" s="52"/>
      <c r="D24" s="52"/>
    </row>
    <row r="25" spans="1:10" x14ac:dyDescent="0.25">
      <c r="A25" s="53" t="s">
        <v>5</v>
      </c>
      <c r="B25" s="54"/>
      <c r="C25" s="55" t="s">
        <v>6</v>
      </c>
      <c r="D25" s="55" t="s">
        <v>6</v>
      </c>
    </row>
    <row r="26" spans="1:10" x14ac:dyDescent="0.25">
      <c r="A26" s="46" t="s">
        <v>7</v>
      </c>
      <c r="B26" s="47">
        <v>1</v>
      </c>
      <c r="C26" s="48">
        <f>C20</f>
        <v>2593.73</v>
      </c>
      <c r="D26" s="48">
        <v>2723.41</v>
      </c>
    </row>
    <row r="27" spans="1:10" x14ac:dyDescent="0.25">
      <c r="A27" s="46" t="s">
        <v>8</v>
      </c>
      <c r="B27" s="47">
        <v>0.3</v>
      </c>
      <c r="C27" s="48">
        <f>(C26*30%)</f>
        <v>778.11900000000003</v>
      </c>
      <c r="D27" s="48">
        <f>(D26*30%)</f>
        <v>817.02299999999991</v>
      </c>
    </row>
    <row r="28" spans="1:10" x14ac:dyDescent="0.25">
      <c r="A28" s="46" t="s">
        <v>9</v>
      </c>
      <c r="B28" s="47"/>
      <c r="C28" s="48"/>
      <c r="D28" s="48"/>
    </row>
    <row r="29" spans="1:10" x14ac:dyDescent="0.25">
      <c r="A29" s="46" t="s">
        <v>164</v>
      </c>
      <c r="B29" s="47"/>
      <c r="C29" s="48"/>
      <c r="D29" s="48"/>
    </row>
    <row r="30" spans="1:10" x14ac:dyDescent="0.25">
      <c r="A30" s="46" t="s">
        <v>175</v>
      </c>
      <c r="B30" s="47"/>
      <c r="C30" s="48"/>
      <c r="D30" s="48"/>
      <c r="E30" s="160"/>
    </row>
    <row r="31" spans="1:10" x14ac:dyDescent="0.25">
      <c r="A31" s="46" t="s">
        <v>57</v>
      </c>
      <c r="B31" s="47">
        <f>C31/C26</f>
        <v>0</v>
      </c>
      <c r="C31" s="48">
        <v>0</v>
      </c>
      <c r="D31" s="48">
        <v>0</v>
      </c>
    </row>
    <row r="32" spans="1:10" s="38" customFormat="1" x14ac:dyDescent="0.25">
      <c r="A32" s="79" t="s">
        <v>71</v>
      </c>
      <c r="B32" s="47">
        <f>C32/C26</f>
        <v>0</v>
      </c>
      <c r="C32" s="81"/>
      <c r="D32" s="81"/>
    </row>
    <row r="33" spans="1:10" x14ac:dyDescent="0.25">
      <c r="A33" s="58" t="s">
        <v>10</v>
      </c>
      <c r="B33" s="59"/>
      <c r="C33" s="60">
        <f>SUM(C26:C32)</f>
        <v>3371.8490000000002</v>
      </c>
      <c r="D33" s="60">
        <f>SUM(D26:D32)</f>
        <v>3540.433</v>
      </c>
      <c r="E33" s="38"/>
    </row>
    <row r="34" spans="1:10" s="36" customFormat="1" ht="3" customHeight="1" x14ac:dyDescent="0.25">
      <c r="A34" s="546"/>
      <c r="B34" s="547"/>
      <c r="C34" s="548"/>
      <c r="D34" s="427"/>
      <c r="E34" s="88"/>
      <c r="F34" s="88"/>
      <c r="G34" s="88"/>
      <c r="H34" s="88"/>
      <c r="I34" s="88"/>
      <c r="J34" s="88"/>
    </row>
    <row r="35" spans="1:10" x14ac:dyDescent="0.25">
      <c r="A35" s="50" t="s">
        <v>30</v>
      </c>
      <c r="B35" s="51"/>
      <c r="C35" s="52"/>
      <c r="D35" s="52"/>
    </row>
    <row r="36" spans="1:10" x14ac:dyDescent="0.25">
      <c r="A36" s="63" t="s">
        <v>31</v>
      </c>
      <c r="B36" s="64"/>
      <c r="C36" s="65"/>
      <c r="D36" s="65"/>
    </row>
    <row r="37" spans="1:10" x14ac:dyDescent="0.25">
      <c r="A37" s="53" t="s">
        <v>128</v>
      </c>
      <c r="B37" s="66"/>
      <c r="C37" s="55" t="s">
        <v>29</v>
      </c>
      <c r="D37" s="55" t="s">
        <v>29</v>
      </c>
    </row>
    <row r="38" spans="1:10" x14ac:dyDescent="0.25">
      <c r="A38" s="46" t="s">
        <v>58</v>
      </c>
      <c r="B38" s="47">
        <f>'44hs D'!B38</f>
        <v>8.3299999999999999E-2</v>
      </c>
      <c r="C38" s="48">
        <f>ROUNDDOWN((B38*C$33),2)</f>
        <v>280.87</v>
      </c>
      <c r="D38" s="48">
        <f>ROUNDDOWN((B$38*D$33),2)</f>
        <v>294.91000000000003</v>
      </c>
    </row>
    <row r="39" spans="1:10" x14ac:dyDescent="0.25">
      <c r="A39" s="46" t="s">
        <v>499</v>
      </c>
      <c r="B39" s="67">
        <f>'44hs D'!B39</f>
        <v>2.7799999999999998E-2</v>
      </c>
      <c r="C39" s="68">
        <f>ROUNDDOWN((C33*B39),2)</f>
        <v>93.73</v>
      </c>
      <c r="D39" s="68">
        <f>ROUNDDOWN((D$33*B$39),2)</f>
        <v>98.42</v>
      </c>
    </row>
    <row r="40" spans="1:10" x14ac:dyDescent="0.25">
      <c r="A40" s="69" t="s">
        <v>66</v>
      </c>
      <c r="B40" s="124">
        <f>SUM(B38:B39)</f>
        <v>0.1111</v>
      </c>
      <c r="C40" s="70">
        <f>SUM(C38:C39)</f>
        <v>374.6</v>
      </c>
      <c r="D40" s="70">
        <f>SUM(D38:D39)</f>
        <v>393.33000000000004</v>
      </c>
    </row>
    <row r="41" spans="1:10" x14ac:dyDescent="0.25">
      <c r="A41" s="89" t="s">
        <v>460</v>
      </c>
      <c r="B41" s="112">
        <f>B40*B53</f>
        <v>3.9218300000000005E-2</v>
      </c>
      <c r="C41" s="90">
        <f>C33*B41</f>
        <v>132.23818563670002</v>
      </c>
      <c r="D41" s="90">
        <f>D33*B$41</f>
        <v>138.84976352390001</v>
      </c>
    </row>
    <row r="42" spans="1:10" x14ac:dyDescent="0.25">
      <c r="A42" s="89" t="s">
        <v>1</v>
      </c>
      <c r="B42" s="112">
        <f>SUM(B40:B41)</f>
        <v>0.15031830000000002</v>
      </c>
      <c r="C42" s="90">
        <f>SUM(C40:C41)</f>
        <v>506.83818563670002</v>
      </c>
      <c r="D42" s="90">
        <f>SUM(D40:D41)</f>
        <v>532.17976352390008</v>
      </c>
      <c r="E42" s="38"/>
      <c r="F42" s="111"/>
    </row>
    <row r="43" spans="1:10" s="36" customFormat="1" ht="3" customHeight="1" x14ac:dyDescent="0.25">
      <c r="A43" s="575"/>
      <c r="B43" s="576"/>
      <c r="C43" s="576"/>
      <c r="D43" s="576"/>
      <c r="E43" s="88"/>
      <c r="F43" s="88"/>
      <c r="G43" s="88"/>
      <c r="H43" s="88"/>
      <c r="I43" s="88"/>
      <c r="J43" s="88"/>
    </row>
    <row r="44" spans="1:10" ht="16.5" customHeight="1" x14ac:dyDescent="0.25">
      <c r="A44" s="554" t="s">
        <v>59</v>
      </c>
      <c r="B44" s="554"/>
      <c r="C44" s="554"/>
      <c r="D44" s="428"/>
    </row>
    <row r="45" spans="1:10" x14ac:dyDescent="0.25">
      <c r="A45" s="46" t="s">
        <v>13</v>
      </c>
      <c r="B45" s="47">
        <f>'44hs D'!B44</f>
        <v>0.2</v>
      </c>
      <c r="C45" s="48">
        <f t="shared" ref="C45:C52" si="0">ROUNDDOWN(B45*(C$33),2)</f>
        <v>674.36</v>
      </c>
      <c r="D45" s="48">
        <f>(B$45*(D$33))</f>
        <v>708.08660000000009</v>
      </c>
    </row>
    <row r="46" spans="1:10" x14ac:dyDescent="0.25">
      <c r="A46" s="46" t="s">
        <v>60</v>
      </c>
      <c r="B46" s="47">
        <f>'44hs D'!B45</f>
        <v>2.5000000000000001E-2</v>
      </c>
      <c r="C46" s="48">
        <f t="shared" si="0"/>
        <v>84.29</v>
      </c>
      <c r="D46" s="48">
        <f>(B$46*(D$33))</f>
        <v>88.510825000000011</v>
      </c>
    </row>
    <row r="47" spans="1:10" x14ac:dyDescent="0.25">
      <c r="A47" s="46" t="s">
        <v>72</v>
      </c>
      <c r="B47" s="47">
        <f>'44hs D'!B46</f>
        <v>1.4999999999999999E-2</v>
      </c>
      <c r="C47" s="48">
        <f t="shared" si="0"/>
        <v>50.57</v>
      </c>
      <c r="D47" s="48">
        <f>(B$47*(D$33))</f>
        <v>53.106494999999995</v>
      </c>
    </row>
    <row r="48" spans="1:10" x14ac:dyDescent="0.25">
      <c r="A48" s="46" t="s">
        <v>61</v>
      </c>
      <c r="B48" s="47">
        <f>'44hs D'!B47</f>
        <v>1.4999999999999999E-2</v>
      </c>
      <c r="C48" s="48">
        <f t="shared" si="0"/>
        <v>50.57</v>
      </c>
      <c r="D48" s="48">
        <f>(B$48*(D$33))</f>
        <v>53.106494999999995</v>
      </c>
    </row>
    <row r="49" spans="1:10" x14ac:dyDescent="0.25">
      <c r="A49" s="46" t="s">
        <v>62</v>
      </c>
      <c r="B49" s="47">
        <f>'44hs D'!B48</f>
        <v>0.01</v>
      </c>
      <c r="C49" s="48">
        <f t="shared" si="0"/>
        <v>33.71</v>
      </c>
      <c r="D49" s="48">
        <f>(B$49*(D$33))</f>
        <v>35.404330000000002</v>
      </c>
    </row>
    <row r="50" spans="1:10" x14ac:dyDescent="0.25">
      <c r="A50" s="46" t="s">
        <v>63</v>
      </c>
      <c r="B50" s="47">
        <f>'44hs D'!B49</f>
        <v>6.0000000000000001E-3</v>
      </c>
      <c r="C50" s="48">
        <f t="shared" si="0"/>
        <v>20.23</v>
      </c>
      <c r="D50" s="48">
        <f>(B$50*(D$33))</f>
        <v>21.242598000000001</v>
      </c>
    </row>
    <row r="51" spans="1:10" x14ac:dyDescent="0.25">
      <c r="A51" s="46" t="s">
        <v>64</v>
      </c>
      <c r="B51" s="47">
        <f>'44hs D'!B50</f>
        <v>2E-3</v>
      </c>
      <c r="C51" s="48">
        <f t="shared" si="0"/>
        <v>6.74</v>
      </c>
      <c r="D51" s="48">
        <f>(B$51*(D$33))</f>
        <v>7.0808660000000003</v>
      </c>
    </row>
    <row r="52" spans="1:10" x14ac:dyDescent="0.25">
      <c r="A52" s="46" t="s">
        <v>65</v>
      </c>
      <c r="B52" s="47">
        <f>'44hs D'!B51</f>
        <v>0.08</v>
      </c>
      <c r="C52" s="48">
        <f t="shared" si="0"/>
        <v>269.74</v>
      </c>
      <c r="D52" s="48">
        <f>(B$52*(D$33))</f>
        <v>283.23464000000001</v>
      </c>
    </row>
    <row r="53" spans="1:10" x14ac:dyDescent="0.25">
      <c r="A53" s="89" t="s">
        <v>1</v>
      </c>
      <c r="B53" s="112">
        <f>SUM(B45:B52)</f>
        <v>0.35300000000000004</v>
      </c>
      <c r="C53" s="90">
        <f>SUM(C45:C52)</f>
        <v>1190.21</v>
      </c>
      <c r="D53" s="90">
        <f>SUM(D45:D52)</f>
        <v>1249.7728490000002</v>
      </c>
      <c r="E53" s="38"/>
    </row>
    <row r="54" spans="1:10" s="36" customFormat="1" ht="3" customHeight="1" x14ac:dyDescent="0.25">
      <c r="A54" s="570"/>
      <c r="B54" s="571"/>
      <c r="C54" s="571"/>
      <c r="D54" s="571"/>
      <c r="E54" s="91"/>
      <c r="F54" s="91"/>
      <c r="G54" s="91"/>
      <c r="H54" s="91"/>
      <c r="I54" s="91"/>
      <c r="J54" s="91"/>
    </row>
    <row r="55" spans="1:10" x14ac:dyDescent="0.25">
      <c r="A55" s="63" t="s">
        <v>32</v>
      </c>
      <c r="B55" s="54"/>
      <c r="C55" s="55" t="s">
        <v>6</v>
      </c>
      <c r="D55" s="55" t="s">
        <v>6</v>
      </c>
    </row>
    <row r="56" spans="1:10" x14ac:dyDescent="0.25">
      <c r="A56" s="46" t="s">
        <v>160</v>
      </c>
      <c r="B56" s="56">
        <v>5.5</v>
      </c>
      <c r="C56" s="48">
        <v>9.3800000000000008</v>
      </c>
      <c r="D56" s="48">
        <f>E56-F56</f>
        <v>1.5954000000000121</v>
      </c>
      <c r="E56" s="37">
        <f>B56*2*15</f>
        <v>165</v>
      </c>
      <c r="F56" s="86">
        <f>(D26)*6%</f>
        <v>163.40459999999999</v>
      </c>
    </row>
    <row r="57" spans="1:10" x14ac:dyDescent="0.25">
      <c r="A57" s="46" t="s">
        <v>564</v>
      </c>
      <c r="B57" s="56"/>
      <c r="C57" s="48">
        <f>45.12*15</f>
        <v>676.8</v>
      </c>
      <c r="D57" s="48">
        <f>47.37*15</f>
        <v>710.55</v>
      </c>
    </row>
    <row r="58" spans="1:10" x14ac:dyDescent="0.25">
      <c r="A58" s="46" t="s">
        <v>166</v>
      </c>
      <c r="B58" s="56"/>
      <c r="C58" s="48">
        <f>(45.12*2%)*-15</f>
        <v>-13.536</v>
      </c>
      <c r="D58" s="48">
        <f>(47.37*2%)*-15</f>
        <v>-14.211</v>
      </c>
      <c r="F58" s="86">
        <f>C57+C58</f>
        <v>663.26400000000001</v>
      </c>
    </row>
    <row r="59" spans="1:10" x14ac:dyDescent="0.25">
      <c r="A59" s="46" t="s">
        <v>216</v>
      </c>
      <c r="B59" s="56"/>
      <c r="C59" s="48">
        <v>151.9</v>
      </c>
      <c r="D59" s="48">
        <v>164.05</v>
      </c>
    </row>
    <row r="60" spans="1:10" x14ac:dyDescent="0.25">
      <c r="A60" s="46" t="s">
        <v>210</v>
      </c>
      <c r="B60" s="56"/>
      <c r="C60" s="48">
        <v>10.33</v>
      </c>
      <c r="D60" s="48">
        <v>10.83</v>
      </c>
    </row>
    <row r="61" spans="1:10" x14ac:dyDescent="0.25">
      <c r="A61" s="46" t="s">
        <v>211</v>
      </c>
      <c r="B61" s="56"/>
      <c r="C61" s="48">
        <v>16.07</v>
      </c>
      <c r="D61" s="48">
        <v>18.170000000000002</v>
      </c>
    </row>
    <row r="62" spans="1:10" x14ac:dyDescent="0.25">
      <c r="A62" s="46" t="s">
        <v>214</v>
      </c>
      <c r="B62" s="56"/>
      <c r="C62" s="48">
        <v>8.17</v>
      </c>
      <c r="D62" s="48">
        <v>8.17</v>
      </c>
    </row>
    <row r="63" spans="1:10" x14ac:dyDescent="0.25">
      <c r="A63" s="92" t="s">
        <v>1</v>
      </c>
      <c r="B63" s="93"/>
      <c r="C63" s="94">
        <f>SUM(C56:C62)</f>
        <v>859.11400000000003</v>
      </c>
      <c r="D63" s="94">
        <f>SUM(D56:D62)</f>
        <v>899.15440000000001</v>
      </c>
      <c r="E63" s="38"/>
    </row>
    <row r="64" spans="1:10" s="95" customFormat="1" ht="3" customHeight="1" x14ac:dyDescent="0.25">
      <c r="A64" s="570"/>
      <c r="B64" s="571"/>
      <c r="C64" s="571"/>
      <c r="D64" s="571"/>
      <c r="E64" s="87"/>
      <c r="F64" s="87"/>
      <c r="G64" s="87"/>
      <c r="H64" s="87"/>
      <c r="I64" s="87"/>
      <c r="J64" s="87"/>
    </row>
    <row r="65" spans="1:6" x14ac:dyDescent="0.25">
      <c r="A65" s="63" t="s">
        <v>33</v>
      </c>
      <c r="B65" s="64"/>
      <c r="C65" s="65"/>
      <c r="D65" s="65"/>
    </row>
    <row r="66" spans="1:6" x14ac:dyDescent="0.25">
      <c r="A66" s="139" t="s">
        <v>73</v>
      </c>
      <c r="B66" s="139"/>
      <c r="C66" s="55" t="s">
        <v>29</v>
      </c>
      <c r="D66" s="55" t="s">
        <v>29</v>
      </c>
    </row>
    <row r="67" spans="1:6" x14ac:dyDescent="0.25">
      <c r="A67" s="71" t="s">
        <v>34</v>
      </c>
      <c r="B67" s="72">
        <f>B42</f>
        <v>0.15031830000000002</v>
      </c>
      <c r="C67" s="48">
        <f>C42</f>
        <v>506.83818563670002</v>
      </c>
      <c r="D67" s="48">
        <f>D42</f>
        <v>532.17976352390008</v>
      </c>
    </row>
    <row r="68" spans="1:6" s="39" customFormat="1" x14ac:dyDescent="0.25">
      <c r="A68" s="71" t="s">
        <v>115</v>
      </c>
      <c r="B68" s="72">
        <f>B53</f>
        <v>0.35300000000000004</v>
      </c>
      <c r="C68" s="48">
        <f>C53</f>
        <v>1190.21</v>
      </c>
      <c r="D68" s="48">
        <f>D53</f>
        <v>1249.7728490000002</v>
      </c>
    </row>
    <row r="69" spans="1:6" x14ac:dyDescent="0.25">
      <c r="A69" s="71" t="s">
        <v>35</v>
      </c>
      <c r="B69" s="72"/>
      <c r="C69" s="48">
        <f>C63</f>
        <v>859.11400000000003</v>
      </c>
      <c r="D69" s="48">
        <f>D63</f>
        <v>899.15440000000001</v>
      </c>
    </row>
    <row r="70" spans="1:6" x14ac:dyDescent="0.25">
      <c r="A70" s="138" t="s">
        <v>1</v>
      </c>
      <c r="B70" s="73">
        <f>SUM(B67:B69)</f>
        <v>0.50331830000000011</v>
      </c>
      <c r="C70" s="60">
        <f>SUM(C67:C69)</f>
        <v>2556.1621856367001</v>
      </c>
      <c r="D70" s="60">
        <f>SUM(D67:D69)</f>
        <v>2681.1070125239003</v>
      </c>
      <c r="E70" s="38"/>
      <c r="F70" s="111"/>
    </row>
    <row r="71" spans="1:6" s="38" customFormat="1" ht="3" customHeight="1" x14ac:dyDescent="0.25">
      <c r="A71" s="572"/>
      <c r="B71" s="573"/>
      <c r="C71" s="573"/>
      <c r="D71" s="574"/>
    </row>
    <row r="72" spans="1:6" s="39" customFormat="1" x14ac:dyDescent="0.25">
      <c r="A72" s="50" t="s">
        <v>36</v>
      </c>
      <c r="B72" s="51"/>
      <c r="C72" s="52"/>
      <c r="D72" s="52"/>
    </row>
    <row r="73" spans="1:6" x14ac:dyDescent="0.25">
      <c r="A73" s="53" t="s">
        <v>37</v>
      </c>
      <c r="B73" s="66"/>
      <c r="C73" s="55" t="s">
        <v>29</v>
      </c>
      <c r="D73" s="55" t="s">
        <v>29</v>
      </c>
    </row>
    <row r="74" spans="1:6" x14ac:dyDescent="0.25">
      <c r="A74" s="46" t="s">
        <v>14</v>
      </c>
      <c r="B74" s="47">
        <f>'44hs D'!B73</f>
        <v>8.3333333333333328E-4</v>
      </c>
      <c r="C74" s="48">
        <f t="shared" ref="C74:C79" si="1">ROUNDDOWN(B74*C$33,2)</f>
        <v>2.8</v>
      </c>
      <c r="D74" s="48">
        <f>(B$74*D$33)</f>
        <v>2.9503608333333333</v>
      </c>
      <c r="F74" s="115"/>
    </row>
    <row r="75" spans="1:6" x14ac:dyDescent="0.25">
      <c r="A75" s="77" t="s">
        <v>15</v>
      </c>
      <c r="B75" s="78">
        <f>'44hs D'!B74</f>
        <v>6.666666666666667E-5</v>
      </c>
      <c r="C75" s="48">
        <f t="shared" si="1"/>
        <v>0.22</v>
      </c>
      <c r="D75" s="48">
        <f>(B$75*D$33)</f>
        <v>0.23602886666666667</v>
      </c>
    </row>
    <row r="76" spans="1:6" s="1" customFormat="1" x14ac:dyDescent="0.25">
      <c r="A76" s="77" t="s">
        <v>121</v>
      </c>
      <c r="B76" s="47">
        <f>'44hs D'!B75</f>
        <v>1.6000000000000003E-3</v>
      </c>
      <c r="C76" s="48">
        <f t="shared" si="1"/>
        <v>5.39</v>
      </c>
      <c r="D76" s="48">
        <f>(B$76*D$33)</f>
        <v>5.664692800000001</v>
      </c>
    </row>
    <row r="77" spans="1:6" s="38" customFormat="1" x14ac:dyDescent="0.25">
      <c r="A77" s="79" t="s">
        <v>122</v>
      </c>
      <c r="B77" s="80">
        <f>'44hs D'!B76</f>
        <v>3.8888888888888892E-4</v>
      </c>
      <c r="C77" s="81">
        <f t="shared" si="1"/>
        <v>1.31</v>
      </c>
      <c r="D77" s="81">
        <f>(B$77*D$33)</f>
        <v>1.3768350555555557</v>
      </c>
    </row>
    <row r="78" spans="1:6" x14ac:dyDescent="0.25">
      <c r="A78" s="77" t="s">
        <v>123</v>
      </c>
      <c r="B78" s="47">
        <f>'44hs D'!B77</f>
        <v>1.372777777777778E-4</v>
      </c>
      <c r="C78" s="48">
        <f t="shared" si="1"/>
        <v>0.46</v>
      </c>
      <c r="D78" s="48">
        <f>(B$78*D$33)</f>
        <v>0.48602277461111121</v>
      </c>
    </row>
    <row r="79" spans="1:6" x14ac:dyDescent="0.25">
      <c r="A79" s="77" t="s">
        <v>124</v>
      </c>
      <c r="B79" s="47">
        <f>'44hs D'!B78</f>
        <v>3.2750666666666657E-2</v>
      </c>
      <c r="C79" s="48">
        <f t="shared" si="1"/>
        <v>110.43</v>
      </c>
      <c r="D79" s="48">
        <f>(B$79*D$33)</f>
        <v>115.95154103866663</v>
      </c>
    </row>
    <row r="80" spans="1:6" x14ac:dyDescent="0.25">
      <c r="A80" s="138" t="s">
        <v>16</v>
      </c>
      <c r="B80" s="73">
        <f>SUM(B74:B79)</f>
        <v>3.5776833333333327E-2</v>
      </c>
      <c r="C80" s="60">
        <f>SUM(C74:C79)</f>
        <v>120.61000000000001</v>
      </c>
      <c r="D80" s="60">
        <f>SUM(D74:D79)</f>
        <v>126.6654813688333</v>
      </c>
      <c r="E80" s="38"/>
    </row>
    <row r="81" spans="1:6" ht="3" customHeight="1" x14ac:dyDescent="0.25">
      <c r="A81" s="560"/>
      <c r="B81" s="561"/>
      <c r="C81" s="561"/>
      <c r="D81" s="562"/>
    </row>
    <row r="82" spans="1:6" s="39" customFormat="1" x14ac:dyDescent="0.25">
      <c r="A82" s="50" t="s">
        <v>38</v>
      </c>
      <c r="B82" s="51"/>
      <c r="C82" s="52"/>
      <c r="D82" s="52"/>
    </row>
    <row r="83" spans="1:6" x14ac:dyDescent="0.25">
      <c r="A83" s="53" t="s">
        <v>155</v>
      </c>
      <c r="B83" s="66"/>
      <c r="C83" s="55" t="s">
        <v>29</v>
      </c>
      <c r="D83" s="55" t="s">
        <v>29</v>
      </c>
    </row>
    <row r="84" spans="1:6" x14ac:dyDescent="0.25">
      <c r="A84" s="46" t="s">
        <v>149</v>
      </c>
      <c r="B84" s="80">
        <f>'44hs D'!B83</f>
        <v>8.3299999999999999E-2</v>
      </c>
      <c r="C84" s="48">
        <f>ROUNDDOWN(B84*C$33,2)</f>
        <v>280.87</v>
      </c>
      <c r="D84" s="48">
        <f>(B$84*D$33)</f>
        <v>294.91806889999998</v>
      </c>
    </row>
    <row r="85" spans="1:6" x14ac:dyDescent="0.25">
      <c r="A85" s="46" t="s">
        <v>150</v>
      </c>
      <c r="B85" s="47">
        <f>'44hs D'!B84</f>
        <v>2.0000000000000001E-4</v>
      </c>
      <c r="C85" s="48">
        <f>ROUNDDOWN(B85*C$33,2)</f>
        <v>0.67</v>
      </c>
      <c r="D85" s="48">
        <f>(B$85*D$33)</f>
        <v>0.70808660000000001</v>
      </c>
    </row>
    <row r="86" spans="1:6" x14ac:dyDescent="0.25">
      <c r="A86" s="46" t="s">
        <v>151</v>
      </c>
      <c r="B86" s="47">
        <f>'44hs D'!B85</f>
        <v>2.0000000000000001E-4</v>
      </c>
      <c r="C86" s="48">
        <f>ROUNDDOWN(B86*C$33,2)</f>
        <v>0.67</v>
      </c>
      <c r="D86" s="48">
        <f>(B$86*D$33)</f>
        <v>0.70808660000000001</v>
      </c>
    </row>
    <row r="87" spans="1:6" x14ac:dyDescent="0.25">
      <c r="A87" s="46" t="s">
        <v>152</v>
      </c>
      <c r="B87" s="47">
        <f>'44hs D'!B86</f>
        <v>4.1666666666666664E-4</v>
      </c>
      <c r="C87" s="48">
        <f>ROUNDDOWN(B87*C$33,2)</f>
        <v>1.4</v>
      </c>
      <c r="D87" s="48">
        <f>(B$87*D$33)</f>
        <v>1.4751804166666667</v>
      </c>
    </row>
    <row r="88" spans="1:6" x14ac:dyDescent="0.25">
      <c r="A88" s="46" t="s">
        <v>153</v>
      </c>
      <c r="B88" s="47">
        <f>'44hs D'!B87</f>
        <v>2.0063888888888887E-4</v>
      </c>
      <c r="C88" s="48">
        <f>ROUNDDOWN(B88*C$33,2)</f>
        <v>0.67</v>
      </c>
      <c r="D88" s="48">
        <f>(B$88*D$33)</f>
        <v>0.71034854330555552</v>
      </c>
    </row>
    <row r="89" spans="1:6" ht="15.75" customHeight="1" x14ac:dyDescent="0.25">
      <c r="A89" s="150" t="s">
        <v>154</v>
      </c>
      <c r="B89" s="152">
        <f>'44hs D'!B88</f>
        <v>0</v>
      </c>
      <c r="C89" s="151">
        <f t="shared" ref="C89:D89" si="2">B89*C$33</f>
        <v>0</v>
      </c>
      <c r="D89" s="151">
        <f t="shared" si="2"/>
        <v>0</v>
      </c>
    </row>
    <row r="90" spans="1:6" ht="15" customHeight="1" x14ac:dyDescent="0.25">
      <c r="A90" s="82" t="s">
        <v>66</v>
      </c>
      <c r="B90" s="67">
        <f>SUM(B84:B89)</f>
        <v>8.4317305555555555E-2</v>
      </c>
      <c r="C90" s="68">
        <f>SUM(C84:C89)</f>
        <v>284.28000000000003</v>
      </c>
      <c r="D90" s="68">
        <f>SUM(D84:D89)</f>
        <v>298.51977105997219</v>
      </c>
    </row>
    <row r="91" spans="1:6" ht="15" customHeight="1" x14ac:dyDescent="0.25">
      <c r="A91" s="138" t="s">
        <v>1</v>
      </c>
      <c r="B91" s="73">
        <f>SUM(B90:B90)</f>
        <v>8.4317305555555555E-2</v>
      </c>
      <c r="C91" s="60">
        <f>SUM(C90:C90)</f>
        <v>284.28000000000003</v>
      </c>
      <c r="D91" s="60">
        <f>SUM(D90:D90)</f>
        <v>298.51977105997219</v>
      </c>
      <c r="F91" s="111"/>
    </row>
    <row r="92" spans="1:6" x14ac:dyDescent="0.25">
      <c r="A92" s="53" t="s">
        <v>40</v>
      </c>
      <c r="B92" s="66"/>
      <c r="C92" s="55" t="s">
        <v>6</v>
      </c>
      <c r="D92" s="55" t="s">
        <v>6</v>
      </c>
    </row>
    <row r="93" spans="1:6" x14ac:dyDescent="0.25">
      <c r="A93" s="46" t="s">
        <v>41</v>
      </c>
      <c r="B93" s="47"/>
      <c r="C93" s="197">
        <f>ROUNDDOWN((C33/220*0.5*1*15),2)</f>
        <v>114.94</v>
      </c>
      <c r="D93" s="197">
        <f>ROUNDDOWN((D33/220*0.5*1*15),2)</f>
        <v>120.69</v>
      </c>
    </row>
    <row r="94" spans="1:6" ht="3" customHeight="1" x14ac:dyDescent="0.25">
      <c r="A94" s="560"/>
      <c r="B94" s="561"/>
      <c r="C94" s="561"/>
      <c r="D94" s="562"/>
    </row>
    <row r="95" spans="1:6" ht="15" customHeight="1" x14ac:dyDescent="0.25">
      <c r="A95" s="138" t="s">
        <v>45</v>
      </c>
      <c r="B95" s="73"/>
      <c r="C95" s="60">
        <f>SUM(C92:C93)</f>
        <v>114.94</v>
      </c>
      <c r="D95" s="60">
        <f>SUM(D92:D93)</f>
        <v>120.69</v>
      </c>
    </row>
    <row r="96" spans="1:6" x14ac:dyDescent="0.25">
      <c r="A96" s="63" t="s">
        <v>42</v>
      </c>
      <c r="B96" s="64"/>
      <c r="C96" s="65"/>
      <c r="D96" s="65"/>
    </row>
    <row r="97" spans="1:6" x14ac:dyDescent="0.25">
      <c r="A97" s="139" t="s">
        <v>17</v>
      </c>
      <c r="B97" s="139"/>
      <c r="C97" s="55" t="s">
        <v>6</v>
      </c>
      <c r="D97" s="55" t="s">
        <v>6</v>
      </c>
    </row>
    <row r="98" spans="1:6" x14ac:dyDescent="0.25">
      <c r="A98" s="71" t="s">
        <v>43</v>
      </c>
      <c r="B98" s="72">
        <f>'44hs D'!B98</f>
        <v>8.4317305555555555E-2</v>
      </c>
      <c r="C98" s="48">
        <f>C91</f>
        <v>284.28000000000003</v>
      </c>
      <c r="D98" s="48">
        <f>D91</f>
        <v>298.51977105997219</v>
      </c>
    </row>
    <row r="99" spans="1:6" s="39" customFormat="1" x14ac:dyDescent="0.25">
      <c r="A99" s="71" t="s">
        <v>44</v>
      </c>
      <c r="B99" s="72"/>
      <c r="C99" s="196">
        <f>C95</f>
        <v>114.94</v>
      </c>
      <c r="D99" s="196">
        <f>D95</f>
        <v>120.69</v>
      </c>
    </row>
    <row r="100" spans="1:6" x14ac:dyDescent="0.25">
      <c r="A100" s="138" t="s">
        <v>1</v>
      </c>
      <c r="B100" s="73">
        <f>SUM(B98:B99)</f>
        <v>8.4317305555555555E-2</v>
      </c>
      <c r="C100" s="60">
        <f>SUM(C98:C99)</f>
        <v>399.22</v>
      </c>
      <c r="D100" s="60">
        <f>SUM(D98:D99)</f>
        <v>419.20977105997218</v>
      </c>
    </row>
    <row r="101" spans="1:6" s="38" customFormat="1" ht="3" customHeight="1" x14ac:dyDescent="0.25">
      <c r="A101" s="572"/>
      <c r="B101" s="573"/>
      <c r="C101" s="573"/>
      <c r="D101" s="574"/>
    </row>
    <row r="102" spans="1:6" s="39" customFormat="1" x14ac:dyDescent="0.25">
      <c r="A102" s="50" t="s">
        <v>46</v>
      </c>
      <c r="B102" s="51"/>
      <c r="C102" s="52"/>
      <c r="D102" s="52"/>
    </row>
    <row r="103" spans="1:6" x14ac:dyDescent="0.25">
      <c r="A103" s="53" t="s">
        <v>47</v>
      </c>
      <c r="B103" s="54"/>
      <c r="C103" s="55" t="s">
        <v>6</v>
      </c>
      <c r="D103" s="55" t="s">
        <v>6</v>
      </c>
    </row>
    <row r="104" spans="1:6" x14ac:dyDescent="0.25">
      <c r="A104" s="46" t="s">
        <v>11</v>
      </c>
      <c r="B104" s="56"/>
      <c r="C104" s="48">
        <f>'Uniformes -IV'!H11</f>
        <v>46.709999999999987</v>
      </c>
      <c r="D104" s="48">
        <f>C104</f>
        <v>46.709999999999987</v>
      </c>
    </row>
    <row r="105" spans="1:6" x14ac:dyDescent="0.25">
      <c r="A105" s="46" t="s">
        <v>190</v>
      </c>
      <c r="B105" s="56"/>
      <c r="C105" s="48">
        <f>'Equipamentos-IV'!I13</f>
        <v>8.4816666666666674</v>
      </c>
      <c r="D105" s="48">
        <f>C105</f>
        <v>8.4816666666666674</v>
      </c>
    </row>
    <row r="106" spans="1:6" x14ac:dyDescent="0.25">
      <c r="A106" s="46" t="s">
        <v>146</v>
      </c>
      <c r="B106" s="56"/>
      <c r="C106" s="48">
        <f>'Equipamentos-IV'!I24</f>
        <v>16.15583333333333</v>
      </c>
      <c r="D106" s="48">
        <f>C106</f>
        <v>16.15583333333333</v>
      </c>
    </row>
    <row r="107" spans="1:6" x14ac:dyDescent="0.25">
      <c r="A107" s="46" t="s">
        <v>145</v>
      </c>
      <c r="B107" s="56"/>
      <c r="C107" s="48">
        <v>0</v>
      </c>
      <c r="D107" s="48">
        <v>0</v>
      </c>
    </row>
    <row r="108" spans="1:6" x14ac:dyDescent="0.25">
      <c r="A108" s="138" t="s">
        <v>12</v>
      </c>
      <c r="B108" s="73"/>
      <c r="C108" s="60">
        <f>SUM(C104:C107)</f>
        <v>71.347499999999982</v>
      </c>
      <c r="D108" s="60">
        <f>SUM(D104:D107)</f>
        <v>71.347499999999982</v>
      </c>
    </row>
    <row r="109" spans="1:6" ht="3" customHeight="1" x14ac:dyDescent="0.25">
      <c r="A109" s="560"/>
      <c r="B109" s="561"/>
      <c r="C109" s="561"/>
      <c r="D109" s="562"/>
    </row>
    <row r="110" spans="1:6" x14ac:dyDescent="0.25">
      <c r="A110" s="50" t="s">
        <v>48</v>
      </c>
      <c r="B110" s="51"/>
      <c r="C110" s="52"/>
      <c r="D110" s="52"/>
    </row>
    <row r="111" spans="1:6" x14ac:dyDescent="0.25">
      <c r="A111" s="53" t="s">
        <v>49</v>
      </c>
      <c r="B111" s="54"/>
      <c r="C111" s="83" t="s">
        <v>6</v>
      </c>
      <c r="D111" s="83" t="s">
        <v>6</v>
      </c>
    </row>
    <row r="112" spans="1:6" x14ac:dyDescent="0.25">
      <c r="A112" s="46" t="s">
        <v>18</v>
      </c>
      <c r="B112" s="47">
        <v>5.0000000000000001E-3</v>
      </c>
      <c r="C112" s="48">
        <f>ROUNDDOWN(C128*B112,2)</f>
        <v>32.590000000000003</v>
      </c>
      <c r="D112" s="48">
        <f>(D128*B$112)</f>
        <v>34.193813824763531</v>
      </c>
      <c r="E112" s="86"/>
      <c r="F112" s="132"/>
    </row>
    <row r="113" spans="1:6" x14ac:dyDescent="0.25">
      <c r="A113" s="46" t="s">
        <v>19</v>
      </c>
      <c r="B113" s="47">
        <v>2.5000000000000001E-3</v>
      </c>
      <c r="C113" s="48">
        <f>ROUNDDOWN((C128+C112)*B113,2)</f>
        <v>16.37</v>
      </c>
      <c r="D113" s="48">
        <f>((D128+D112)*B$113)</f>
        <v>17.182391446943672</v>
      </c>
      <c r="F113" s="132"/>
    </row>
    <row r="114" spans="1:6" x14ac:dyDescent="0.25">
      <c r="A114" s="46" t="s">
        <v>20</v>
      </c>
      <c r="B114" s="47">
        <f>SUM(B115:B117)</f>
        <v>8.6499999999999994E-2</v>
      </c>
      <c r="C114" s="48">
        <f ca="1">SUM(C115:C117)</f>
        <v>621.93000000000006</v>
      </c>
      <c r="D114" s="48">
        <f ca="1">SUM(D115:D117)</f>
        <v>652.43242575195586</v>
      </c>
      <c r="F114" s="132"/>
    </row>
    <row r="115" spans="1:6" x14ac:dyDescent="0.25">
      <c r="A115" s="46" t="s">
        <v>108</v>
      </c>
      <c r="B115" s="113">
        <v>3.6499999999999998E-2</v>
      </c>
      <c r="C115" s="114">
        <f ca="1">ROUNDDOWN(C130*B115,2)</f>
        <v>262.43</v>
      </c>
      <c r="D115" s="114">
        <f ca="1">D130*B115</f>
        <v>275.30385595313743</v>
      </c>
    </row>
    <row r="116" spans="1:6" x14ac:dyDescent="0.25">
      <c r="A116" s="46" t="s">
        <v>21</v>
      </c>
      <c r="B116" s="113">
        <v>0</v>
      </c>
      <c r="C116" s="114"/>
      <c r="D116" s="114"/>
      <c r="F116" s="132"/>
    </row>
    <row r="117" spans="1:6" x14ac:dyDescent="0.25">
      <c r="A117" s="46" t="s">
        <v>22</v>
      </c>
      <c r="B117" s="113">
        <v>0.05</v>
      </c>
      <c r="C117" s="114">
        <f ca="1">ROUNDDOWN(C130*B117,2)</f>
        <v>359.5</v>
      </c>
      <c r="D117" s="114">
        <f ca="1">D130*B117</f>
        <v>377.12856979881849</v>
      </c>
      <c r="F117" s="132"/>
    </row>
    <row r="118" spans="1:6" x14ac:dyDescent="0.25">
      <c r="A118" s="46" t="s">
        <v>23</v>
      </c>
      <c r="B118" s="56"/>
      <c r="C118" s="48"/>
      <c r="D118" s="48"/>
    </row>
    <row r="119" spans="1:6" x14ac:dyDescent="0.25">
      <c r="A119" s="138" t="s">
        <v>24</v>
      </c>
      <c r="B119" s="73"/>
      <c r="C119" s="60">
        <f ca="1">SUM(C112:C114)</f>
        <v>670.8900000000001</v>
      </c>
      <c r="D119" s="60">
        <f ca="1">SUM(D112:D114)</f>
        <v>703.80863102366311</v>
      </c>
      <c r="F119" s="132"/>
    </row>
    <row r="120" spans="1:6" ht="3" customHeight="1" x14ac:dyDescent="0.25">
      <c r="A120" s="437"/>
      <c r="B120" s="438"/>
      <c r="C120" s="439"/>
      <c r="D120" s="429"/>
    </row>
    <row r="121" spans="1:6" x14ac:dyDescent="0.25">
      <c r="A121" s="556" t="s">
        <v>25</v>
      </c>
      <c r="B121" s="556"/>
      <c r="C121" s="556"/>
      <c r="D121" s="430"/>
    </row>
    <row r="122" spans="1:6" x14ac:dyDescent="0.25">
      <c r="A122" s="557" t="s">
        <v>26</v>
      </c>
      <c r="B122" s="557"/>
      <c r="C122" s="55" t="s">
        <v>6</v>
      </c>
      <c r="D122" s="55" t="s">
        <v>6</v>
      </c>
    </row>
    <row r="123" spans="1:6" x14ac:dyDescent="0.25">
      <c r="A123" s="558" t="s">
        <v>27</v>
      </c>
      <c r="B123" s="558"/>
      <c r="C123" s="62">
        <f>C33</f>
        <v>3371.8490000000002</v>
      </c>
      <c r="D123" s="62">
        <f>D33</f>
        <v>3540.433</v>
      </c>
    </row>
    <row r="124" spans="1:6" x14ac:dyDescent="0.25">
      <c r="A124" s="558" t="s">
        <v>50</v>
      </c>
      <c r="B124" s="558"/>
      <c r="C124" s="62">
        <f>C70</f>
        <v>2556.1621856367001</v>
      </c>
      <c r="D124" s="62">
        <f>D70</f>
        <v>2681.1070125239003</v>
      </c>
    </row>
    <row r="125" spans="1:6" x14ac:dyDescent="0.25">
      <c r="A125" s="558" t="s">
        <v>51</v>
      </c>
      <c r="B125" s="558"/>
      <c r="C125" s="62">
        <f>C80</f>
        <v>120.61000000000001</v>
      </c>
      <c r="D125" s="62">
        <f>D80</f>
        <v>126.6654813688333</v>
      </c>
    </row>
    <row r="126" spans="1:6" x14ac:dyDescent="0.25">
      <c r="A126" s="558" t="s">
        <v>52</v>
      </c>
      <c r="B126" s="558"/>
      <c r="C126" s="62">
        <f>C100</f>
        <v>399.22</v>
      </c>
      <c r="D126" s="62">
        <f>D100</f>
        <v>419.20977105997218</v>
      </c>
    </row>
    <row r="127" spans="1:6" x14ac:dyDescent="0.25">
      <c r="A127" s="558" t="s">
        <v>53</v>
      </c>
      <c r="B127" s="558"/>
      <c r="C127" s="62">
        <f>C108</f>
        <v>71.347499999999982</v>
      </c>
      <c r="D127" s="62">
        <f>D108</f>
        <v>71.347499999999982</v>
      </c>
    </row>
    <row r="128" spans="1:6" x14ac:dyDescent="0.25">
      <c r="A128" s="559" t="s">
        <v>55</v>
      </c>
      <c r="B128" s="559"/>
      <c r="C128" s="62">
        <f>SUM(C123:C127)</f>
        <v>6519.1886856367</v>
      </c>
      <c r="D128" s="62">
        <f>SUM(D123:D127)</f>
        <v>6838.7627649527058</v>
      </c>
    </row>
    <row r="129" spans="1:6" x14ac:dyDescent="0.25">
      <c r="A129" s="558" t="s">
        <v>54</v>
      </c>
      <c r="B129" s="558"/>
      <c r="C129" s="62">
        <f ca="1">C119</f>
        <v>670.8900000000001</v>
      </c>
      <c r="D129" s="62">
        <f ca="1">D119</f>
        <v>703.80863102366311</v>
      </c>
    </row>
    <row r="130" spans="1:6" ht="15.75" customHeight="1" x14ac:dyDescent="0.25">
      <c r="A130" s="555" t="s">
        <v>28</v>
      </c>
      <c r="B130" s="555"/>
      <c r="C130" s="60">
        <f ca="1">SUM(C128:C129)</f>
        <v>7190.0786856367004</v>
      </c>
      <c r="D130" s="60">
        <f ca="1">SUM(D128:D129)</f>
        <v>7542.5713959763689</v>
      </c>
      <c r="E130" s="86"/>
    </row>
    <row r="131" spans="1:6" ht="3" customHeight="1" x14ac:dyDescent="0.25">
      <c r="A131" s="437"/>
      <c r="B131" s="438"/>
      <c r="C131" s="439"/>
      <c r="D131" s="429"/>
    </row>
    <row r="132" spans="1:6" ht="15.75" customHeight="1" x14ac:dyDescent="0.25">
      <c r="A132" s="555" t="s">
        <v>70</v>
      </c>
      <c r="B132" s="555"/>
      <c r="C132" s="60">
        <f ca="1">C130*2</f>
        <v>14380.157371273401</v>
      </c>
      <c r="D132" s="60">
        <f ca="1">D130*2</f>
        <v>15085.142791952738</v>
      </c>
      <c r="E132" s="37">
        <f ca="1">D132/C132</f>
        <v>1.0490248752136506</v>
      </c>
      <c r="F132" s="86"/>
    </row>
    <row r="133" spans="1:6" x14ac:dyDescent="0.25">
      <c r="B133" s="37"/>
      <c r="C133" s="37"/>
      <c r="D133" s="37"/>
    </row>
    <row r="134" spans="1:6" x14ac:dyDescent="0.25">
      <c r="B134" s="37"/>
      <c r="C134" s="37"/>
      <c r="D134" s="37"/>
    </row>
    <row r="135" spans="1:6" x14ac:dyDescent="0.25">
      <c r="B135" s="37"/>
      <c r="C135" s="37"/>
      <c r="D135" s="37"/>
    </row>
    <row r="136" spans="1:6" x14ac:dyDescent="0.25">
      <c r="B136" s="37"/>
      <c r="C136" s="37"/>
      <c r="D136" s="37"/>
    </row>
    <row r="137" spans="1:6" x14ac:dyDescent="0.25">
      <c r="B137" s="37"/>
      <c r="C137" s="37"/>
      <c r="D137" s="37"/>
    </row>
    <row r="138" spans="1:6" x14ac:dyDescent="0.25">
      <c r="B138" s="37"/>
      <c r="C138" s="37"/>
      <c r="D138" s="37"/>
    </row>
    <row r="139" spans="1:6" x14ac:dyDescent="0.25">
      <c r="B139" s="37"/>
      <c r="C139" s="37"/>
      <c r="D139" s="37"/>
    </row>
    <row r="140" spans="1:6" x14ac:dyDescent="0.25">
      <c r="B140" s="37"/>
      <c r="C140" s="37"/>
      <c r="D140" s="37"/>
    </row>
    <row r="141" spans="1:6" x14ac:dyDescent="0.25">
      <c r="B141" s="37"/>
      <c r="C141" s="37"/>
      <c r="D141" s="37"/>
    </row>
    <row r="142" spans="1:6" x14ac:dyDescent="0.25">
      <c r="A142" s="40"/>
      <c r="B142" s="37"/>
      <c r="C142" s="37"/>
      <c r="D142" s="37"/>
    </row>
    <row r="143" spans="1:6" x14ac:dyDescent="0.25">
      <c r="B143" s="37"/>
      <c r="C143" s="37"/>
      <c r="D143" s="37"/>
    </row>
    <row r="144" spans="1:6" x14ac:dyDescent="0.25">
      <c r="B144" s="37"/>
      <c r="C144" s="37"/>
      <c r="D144" s="37"/>
    </row>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sheetData>
  <mergeCells count="34">
    <mergeCell ref="A132:B132"/>
    <mergeCell ref="A121:C121"/>
    <mergeCell ref="A122:B122"/>
    <mergeCell ref="A123:B123"/>
    <mergeCell ref="A124:B124"/>
    <mergeCell ref="A125:B125"/>
    <mergeCell ref="A126:B126"/>
    <mergeCell ref="A127:B127"/>
    <mergeCell ref="A128:B128"/>
    <mergeCell ref="A129:B129"/>
    <mergeCell ref="A130:B130"/>
    <mergeCell ref="B8:C8"/>
    <mergeCell ref="B9:C9"/>
    <mergeCell ref="B10:C10"/>
    <mergeCell ref="A14:B14"/>
    <mergeCell ref="A23:C23"/>
    <mergeCell ref="A1:C1"/>
    <mergeCell ref="A2:C2"/>
    <mergeCell ref="A5:C5"/>
    <mergeCell ref="A6:C6"/>
    <mergeCell ref="B7:C7"/>
    <mergeCell ref="A109:D109"/>
    <mergeCell ref="A16:D16"/>
    <mergeCell ref="A17:B17"/>
    <mergeCell ref="A15:D15"/>
    <mergeCell ref="A64:D64"/>
    <mergeCell ref="A71:D71"/>
    <mergeCell ref="A81:D81"/>
    <mergeCell ref="A94:D94"/>
    <mergeCell ref="A101:D101"/>
    <mergeCell ref="A43:D43"/>
    <mergeCell ref="A54:D54"/>
    <mergeCell ref="A34:C34"/>
    <mergeCell ref="A44:C44"/>
  </mergeCells>
  <pageMargins left="0.511811024" right="0.511811024" top="0.78740157499999996" bottom="0.78740157499999996" header="0.31496062000000002" footer="0.31496062000000002"/>
  <pageSetup paperSize="9" scale="59" orientation="portrait" r:id="rId1"/>
  <rowBreaks count="1" manualBreakCount="1">
    <brk id="64" max="3" man="1"/>
  </rowBreaks>
  <colBreaks count="1" manualBreakCount="1">
    <brk id="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25"/>
  <sheetViews>
    <sheetView showGridLines="0" view="pageBreakPreview" topLeftCell="B25" zoomScale="124" zoomScaleNormal="100" zoomScaleSheetLayoutView="124" workbookViewId="0">
      <selection activeCell="C25" sqref="C1:C1048576"/>
    </sheetView>
  </sheetViews>
  <sheetFormatPr defaultRowHeight="12.75" x14ac:dyDescent="0.25"/>
  <cols>
    <col min="1" max="1" width="92.7109375" style="37" customWidth="1"/>
    <col min="2" max="2" width="15.28515625" style="41" customWidth="1"/>
    <col min="3" max="4" width="23.7109375" style="41" customWidth="1"/>
    <col min="5" max="5" width="18.42578125" style="37" customWidth="1"/>
    <col min="6" max="6" width="10" style="37" bestFit="1" customWidth="1"/>
    <col min="7" max="16384" width="9.140625" style="37"/>
  </cols>
  <sheetData>
    <row r="1" spans="1:5" s="43" customFormat="1" ht="27" customHeight="1" x14ac:dyDescent="0.25">
      <c r="A1" s="535" t="s">
        <v>228</v>
      </c>
      <c r="B1" s="535"/>
      <c r="C1" s="535"/>
      <c r="D1" s="42"/>
      <c r="E1" s="42"/>
    </row>
    <row r="2" spans="1:5" s="43" customFormat="1" ht="31.5" customHeight="1" x14ac:dyDescent="0.25">
      <c r="A2" s="536" t="s">
        <v>101</v>
      </c>
      <c r="B2" s="536"/>
      <c r="C2" s="536"/>
    </row>
    <row r="3" spans="1:5" s="43" customFormat="1" ht="15.75" customHeight="1" x14ac:dyDescent="0.25">
      <c r="A3" s="44" t="s">
        <v>480</v>
      </c>
      <c r="B3" s="44"/>
      <c r="C3" s="44"/>
      <c r="D3" s="44"/>
    </row>
    <row r="4" spans="1:5" s="43" customFormat="1" ht="15.75" customHeight="1" x14ac:dyDescent="0.25">
      <c r="A4" s="44" t="s">
        <v>482</v>
      </c>
      <c r="B4" s="44"/>
      <c r="C4" s="44"/>
      <c r="D4" s="44"/>
    </row>
    <row r="5" spans="1:5" s="43" customFormat="1" ht="14.85" customHeight="1" x14ac:dyDescent="0.25">
      <c r="A5" s="537"/>
      <c r="B5" s="537"/>
      <c r="C5" s="537"/>
    </row>
    <row r="6" spans="1:5" s="43" customFormat="1" ht="20.25" customHeight="1" x14ac:dyDescent="0.25">
      <c r="A6" s="538" t="s">
        <v>80</v>
      </c>
      <c r="B6" s="538"/>
      <c r="C6" s="538"/>
    </row>
    <row r="7" spans="1:5" s="43" customFormat="1" ht="15.75" customHeight="1" x14ac:dyDescent="0.25">
      <c r="A7" s="44" t="s">
        <v>81</v>
      </c>
      <c r="B7" s="539"/>
      <c r="C7" s="539"/>
    </row>
    <row r="8" spans="1:5" s="43" customFormat="1" ht="15.75" customHeight="1" x14ac:dyDescent="0.25">
      <c r="A8" s="44" t="s">
        <v>82</v>
      </c>
      <c r="B8" s="540" t="s">
        <v>2</v>
      </c>
      <c r="C8" s="540"/>
    </row>
    <row r="9" spans="1:5" s="43" customFormat="1" ht="20.100000000000001" customHeight="1" x14ac:dyDescent="0.25">
      <c r="A9" s="44" t="s">
        <v>83</v>
      </c>
      <c r="B9" s="541" t="s">
        <v>565</v>
      </c>
      <c r="C9" s="541"/>
    </row>
    <row r="10" spans="1:5" s="43" customFormat="1" ht="15.75" customHeight="1" x14ac:dyDescent="0.25">
      <c r="A10" s="44" t="s">
        <v>84</v>
      </c>
      <c r="B10" s="541" t="s">
        <v>85</v>
      </c>
      <c r="C10" s="541"/>
    </row>
    <row r="11" spans="1:5" s="43" customFormat="1" ht="21.2" customHeight="1" x14ac:dyDescent="0.25">
      <c r="A11" s="44" t="s">
        <v>86</v>
      </c>
      <c r="B11" s="44"/>
      <c r="C11" s="44"/>
      <c r="D11" s="44"/>
    </row>
    <row r="12" spans="1:5" s="43" customFormat="1" ht="47.25" customHeight="1" x14ac:dyDescent="0.25">
      <c r="A12" s="84" t="s">
        <v>92</v>
      </c>
      <c r="B12" s="84" t="s">
        <v>87</v>
      </c>
      <c r="C12" s="84" t="s">
        <v>88</v>
      </c>
      <c r="D12" s="84" t="s">
        <v>88</v>
      </c>
    </row>
    <row r="13" spans="1:5" s="43" customFormat="1" ht="36" customHeight="1" x14ac:dyDescent="0.25">
      <c r="A13" s="45" t="str">
        <f>A1</f>
        <v>Posto de Vigilância Armada Noturna 12x36hs - 2a. a Domingo</v>
      </c>
      <c r="B13" s="140" t="s">
        <v>89</v>
      </c>
      <c r="C13" s="85">
        <v>2</v>
      </c>
      <c r="D13" s="85">
        <v>2</v>
      </c>
    </row>
    <row r="14" spans="1:5" s="43" customFormat="1" ht="18.75" customHeight="1" x14ac:dyDescent="0.25">
      <c r="A14" s="538" t="s">
        <v>90</v>
      </c>
      <c r="B14" s="538"/>
      <c r="C14" s="85">
        <f>SUM(C13)</f>
        <v>2</v>
      </c>
      <c r="D14" s="85">
        <f>SUM(D13)</f>
        <v>2</v>
      </c>
    </row>
    <row r="15" spans="1:5" s="43" customFormat="1" ht="9" customHeight="1" x14ac:dyDescent="0.25">
      <c r="A15" s="542"/>
      <c r="B15" s="543"/>
      <c r="C15" s="544"/>
    </row>
    <row r="16" spans="1:5" x14ac:dyDescent="0.25">
      <c r="A16" s="579" t="s">
        <v>93</v>
      </c>
      <c r="B16" s="580"/>
      <c r="C16" s="580"/>
      <c r="D16" s="580"/>
    </row>
    <row r="17" spans="1:9" x14ac:dyDescent="0.25">
      <c r="A17" s="577" t="s">
        <v>94</v>
      </c>
      <c r="B17" s="578"/>
      <c r="C17" s="440">
        <v>2023</v>
      </c>
      <c r="D17" s="440">
        <v>2024</v>
      </c>
    </row>
    <row r="18" spans="1:9" s="38" customFormat="1" x14ac:dyDescent="0.2">
      <c r="A18" s="49" t="s">
        <v>3</v>
      </c>
      <c r="B18" s="432"/>
      <c r="C18" s="432" t="s">
        <v>95</v>
      </c>
      <c r="D18" s="432" t="s">
        <v>95</v>
      </c>
    </row>
    <row r="19" spans="1:9" s="38" customFormat="1" x14ac:dyDescent="0.2">
      <c r="A19" s="49" t="s">
        <v>96</v>
      </c>
      <c r="B19" s="433"/>
      <c r="C19" s="433" t="s">
        <v>120</v>
      </c>
      <c r="D19" s="433" t="s">
        <v>120</v>
      </c>
    </row>
    <row r="20" spans="1:9" s="38" customFormat="1" x14ac:dyDescent="0.2">
      <c r="A20" s="49" t="s">
        <v>97</v>
      </c>
      <c r="B20" s="434"/>
      <c r="C20" s="434">
        <f>'12x36 DA'!C20</f>
        <v>2593.73</v>
      </c>
      <c r="D20" s="434">
        <f>'12x36 DA'!D20</f>
        <v>2723.41</v>
      </c>
    </row>
    <row r="21" spans="1:9" s="38" customFormat="1" x14ac:dyDescent="0.2">
      <c r="A21" s="49" t="s">
        <v>98</v>
      </c>
      <c r="B21" s="435"/>
      <c r="C21" s="435" t="s">
        <v>100</v>
      </c>
      <c r="D21" s="435" t="s">
        <v>100</v>
      </c>
    </row>
    <row r="22" spans="1:9" s="38" customFormat="1" x14ac:dyDescent="0.2">
      <c r="A22" s="49" t="s">
        <v>99</v>
      </c>
      <c r="B22" s="436"/>
      <c r="C22" s="436">
        <v>44927</v>
      </c>
      <c r="D22" s="436">
        <v>45292</v>
      </c>
    </row>
    <row r="23" spans="1:9" s="36" customFormat="1" ht="3" customHeight="1" x14ac:dyDescent="0.25">
      <c r="A23" s="546"/>
      <c r="B23" s="547"/>
      <c r="C23" s="548"/>
      <c r="D23" s="87"/>
      <c r="E23" s="87"/>
      <c r="F23" s="87"/>
      <c r="G23" s="87"/>
      <c r="H23" s="87"/>
      <c r="I23" s="87"/>
    </row>
    <row r="24" spans="1:9" x14ac:dyDescent="0.25">
      <c r="A24" s="50" t="s">
        <v>4</v>
      </c>
      <c r="B24" s="51"/>
      <c r="C24" s="52"/>
      <c r="D24" s="52"/>
    </row>
    <row r="25" spans="1:9" x14ac:dyDescent="0.25">
      <c r="A25" s="53" t="s">
        <v>5</v>
      </c>
      <c r="B25" s="54"/>
      <c r="C25" s="55" t="s">
        <v>6</v>
      </c>
      <c r="D25" s="55" t="s">
        <v>6</v>
      </c>
    </row>
    <row r="26" spans="1:9" x14ac:dyDescent="0.25">
      <c r="A26" s="46" t="s">
        <v>7</v>
      </c>
      <c r="B26" s="47">
        <v>1</v>
      </c>
      <c r="C26" s="48">
        <f>C20</f>
        <v>2593.73</v>
      </c>
      <c r="D26" s="48">
        <f>D20</f>
        <v>2723.41</v>
      </c>
    </row>
    <row r="27" spans="1:9" x14ac:dyDescent="0.25">
      <c r="A27" s="46" t="s">
        <v>8</v>
      </c>
      <c r="B27" s="47">
        <v>0.3</v>
      </c>
      <c r="C27" s="48">
        <f>C26*30%</f>
        <v>778.11900000000003</v>
      </c>
      <c r="D27" s="48">
        <f>D26*30%</f>
        <v>817.02299999999991</v>
      </c>
    </row>
    <row r="28" spans="1:9" x14ac:dyDescent="0.25">
      <c r="A28" s="46" t="s">
        <v>9</v>
      </c>
      <c r="B28" s="47"/>
      <c r="C28" s="48"/>
      <c r="D28" s="48"/>
    </row>
    <row r="29" spans="1:9" x14ac:dyDescent="0.25">
      <c r="A29" s="46" t="s">
        <v>164</v>
      </c>
      <c r="B29" s="47"/>
      <c r="C29" s="48">
        <f>ROUNDDOWN((C26+C27)/220*0.2*7*15,2)</f>
        <v>321.85000000000002</v>
      </c>
      <c r="D29" s="48">
        <f>ROUNDDOWN((D26+D27)/220*0.2*7*15,2)</f>
        <v>337.95</v>
      </c>
    </row>
    <row r="30" spans="1:9" x14ac:dyDescent="0.25">
      <c r="A30" s="46" t="s">
        <v>165</v>
      </c>
      <c r="B30" s="47"/>
      <c r="C30" s="48">
        <f>ROUNDDOWN((C26+C27)/220*(20%)*1*15,2)</f>
        <v>45.97</v>
      </c>
      <c r="D30" s="48">
        <f>ROUNDDOWN((D26+D27)/220*(20%)*1*15,2)</f>
        <v>48.27</v>
      </c>
    </row>
    <row r="31" spans="1:9" x14ac:dyDescent="0.25">
      <c r="A31" s="46" t="s">
        <v>57</v>
      </c>
      <c r="B31" s="47">
        <f>C31/C26</f>
        <v>0</v>
      </c>
      <c r="C31" s="48">
        <v>0</v>
      </c>
      <c r="D31" s="48">
        <v>0</v>
      </c>
    </row>
    <row r="32" spans="1:9" s="38" customFormat="1" x14ac:dyDescent="0.25">
      <c r="A32" s="79" t="s">
        <v>71</v>
      </c>
      <c r="B32" s="47">
        <f>C32/C26</f>
        <v>0</v>
      </c>
      <c r="C32" s="81"/>
      <c r="D32" s="81"/>
    </row>
    <row r="33" spans="1:9" x14ac:dyDescent="0.25">
      <c r="A33" s="58" t="s">
        <v>10</v>
      </c>
      <c r="B33" s="59"/>
      <c r="C33" s="60">
        <f>SUM(C26:C32)</f>
        <v>3739.6689999999999</v>
      </c>
      <c r="D33" s="60">
        <f>SUM(D26:D32)</f>
        <v>3926.6529999999998</v>
      </c>
    </row>
    <row r="34" spans="1:9" s="36" customFormat="1" ht="3" customHeight="1" x14ac:dyDescent="0.25">
      <c r="A34" s="546"/>
      <c r="B34" s="547"/>
      <c r="C34" s="548"/>
      <c r="D34" s="88"/>
      <c r="E34" s="88"/>
      <c r="F34" s="88"/>
      <c r="G34" s="88"/>
      <c r="H34" s="88"/>
      <c r="I34" s="88"/>
    </row>
    <row r="35" spans="1:9" x14ac:dyDescent="0.25">
      <c r="A35" s="50" t="s">
        <v>30</v>
      </c>
      <c r="B35" s="51"/>
      <c r="C35" s="52"/>
      <c r="D35" s="52"/>
    </row>
    <row r="36" spans="1:9" x14ac:dyDescent="0.25">
      <c r="A36" s="63" t="s">
        <v>31</v>
      </c>
      <c r="B36" s="64"/>
      <c r="C36" s="65"/>
      <c r="D36" s="65"/>
    </row>
    <row r="37" spans="1:9" x14ac:dyDescent="0.25">
      <c r="A37" s="53" t="s">
        <v>128</v>
      </c>
      <c r="B37" s="66"/>
      <c r="C37" s="55" t="s">
        <v>29</v>
      </c>
      <c r="D37" s="55" t="s">
        <v>29</v>
      </c>
    </row>
    <row r="38" spans="1:9" x14ac:dyDescent="0.25">
      <c r="A38" s="46" t="s">
        <v>58</v>
      </c>
      <c r="B38" s="47">
        <f>'12x36 DA'!B38</f>
        <v>8.3299999999999999E-2</v>
      </c>
      <c r="C38" s="48">
        <f>ROUNDDOWN((B38*C$33),2)</f>
        <v>311.51</v>
      </c>
      <c r="D38" s="48">
        <f>ROUNDDOWN((B$38*D$33),2)</f>
        <v>327.08999999999997</v>
      </c>
    </row>
    <row r="39" spans="1:9" x14ac:dyDescent="0.25">
      <c r="A39" s="46" t="s">
        <v>499</v>
      </c>
      <c r="B39" s="67">
        <f>'12x36 DA'!B39</f>
        <v>2.7799999999999998E-2</v>
      </c>
      <c r="C39" s="68">
        <f>ROUNDDOWN((C33*B39),2)</f>
        <v>103.96</v>
      </c>
      <c r="D39" s="68">
        <f>ROUNDDOWN((D33*B$39),2)</f>
        <v>109.16</v>
      </c>
    </row>
    <row r="40" spans="1:9" x14ac:dyDescent="0.25">
      <c r="A40" s="69" t="s">
        <v>66</v>
      </c>
      <c r="B40" s="124">
        <f>SUM(B38:B39)</f>
        <v>0.1111</v>
      </c>
      <c r="C40" s="70">
        <f>SUM(C38:C39)</f>
        <v>415.46999999999997</v>
      </c>
      <c r="D40" s="70">
        <f>SUM(D38:D39)</f>
        <v>436.25</v>
      </c>
    </row>
    <row r="41" spans="1:9" x14ac:dyDescent="0.25">
      <c r="A41" s="89" t="s">
        <v>460</v>
      </c>
      <c r="B41" s="112">
        <f>B40*B53</f>
        <v>3.9218300000000005E-2</v>
      </c>
      <c r="C41" s="90">
        <f>C33*B41</f>
        <v>146.66346074270001</v>
      </c>
      <c r="D41" s="90">
        <f>D33*B$41</f>
        <v>153.99665534990001</v>
      </c>
    </row>
    <row r="42" spans="1:9" x14ac:dyDescent="0.25">
      <c r="A42" s="89" t="s">
        <v>1</v>
      </c>
      <c r="B42" s="112">
        <f>SUM(B40:B41)</f>
        <v>0.15031830000000002</v>
      </c>
      <c r="C42" s="90">
        <f>SUM(C40:C41)</f>
        <v>562.13346074269998</v>
      </c>
      <c r="D42" s="90">
        <f>SUM(D40:D41)</f>
        <v>590.24665534990004</v>
      </c>
      <c r="E42" s="111"/>
    </row>
    <row r="43" spans="1:9" s="36" customFormat="1" ht="3" customHeight="1" x14ac:dyDescent="0.25">
      <c r="A43" s="546"/>
      <c r="B43" s="547"/>
      <c r="C43" s="548"/>
      <c r="D43" s="88"/>
      <c r="E43" s="88"/>
      <c r="F43" s="88"/>
      <c r="G43" s="88"/>
      <c r="H43" s="88"/>
      <c r="I43" s="88"/>
    </row>
    <row r="44" spans="1:9" ht="23.25" customHeight="1" x14ac:dyDescent="0.25">
      <c r="A44" s="581" t="s">
        <v>59</v>
      </c>
      <c r="B44" s="582"/>
      <c r="C44" s="582"/>
      <c r="D44" s="582"/>
    </row>
    <row r="45" spans="1:9" x14ac:dyDescent="0.25">
      <c r="A45" s="46" t="s">
        <v>13</v>
      </c>
      <c r="B45" s="47">
        <f>'12x36 DA'!B45</f>
        <v>0.2</v>
      </c>
      <c r="C45" s="48">
        <f t="shared" ref="C45:C52" si="0">ROUNDDOWN(B45*(C$33),2)</f>
        <v>747.93</v>
      </c>
      <c r="D45" s="48">
        <f>ROUNDDOWN(B$45*(D$33),2)</f>
        <v>785.33</v>
      </c>
    </row>
    <row r="46" spans="1:9" x14ac:dyDescent="0.25">
      <c r="A46" s="46" t="s">
        <v>60</v>
      </c>
      <c r="B46" s="47">
        <f>'12x36 DA'!B46</f>
        <v>2.5000000000000001E-2</v>
      </c>
      <c r="C46" s="48">
        <f t="shared" si="0"/>
        <v>93.49</v>
      </c>
      <c r="D46" s="48">
        <f>ROUNDDOWN(B$46*(D$33),2)</f>
        <v>98.16</v>
      </c>
    </row>
    <row r="47" spans="1:9" x14ac:dyDescent="0.25">
      <c r="A47" s="46" t="s">
        <v>72</v>
      </c>
      <c r="B47" s="47">
        <f>'12x36 DA'!B47</f>
        <v>1.4999999999999999E-2</v>
      </c>
      <c r="C47" s="48">
        <f t="shared" si="0"/>
        <v>56.09</v>
      </c>
      <c r="D47" s="48">
        <f>ROUNDDOWN(B$47*(D$33),2)</f>
        <v>58.89</v>
      </c>
    </row>
    <row r="48" spans="1:9" x14ac:dyDescent="0.25">
      <c r="A48" s="46" t="s">
        <v>61</v>
      </c>
      <c r="B48" s="47">
        <f>'12x36 DA'!B48</f>
        <v>1.4999999999999999E-2</v>
      </c>
      <c r="C48" s="48">
        <f t="shared" si="0"/>
        <v>56.09</v>
      </c>
      <c r="D48" s="48">
        <f>ROUNDDOWN(B$48*(D$33),2)</f>
        <v>58.89</v>
      </c>
    </row>
    <row r="49" spans="1:9" x14ac:dyDescent="0.25">
      <c r="A49" s="46" t="s">
        <v>62</v>
      </c>
      <c r="B49" s="47">
        <f>'12x36 DA'!B49</f>
        <v>0.01</v>
      </c>
      <c r="C49" s="48">
        <f t="shared" si="0"/>
        <v>37.39</v>
      </c>
      <c r="D49" s="48">
        <f>ROUNDDOWN(B$49*(D$33),2)</f>
        <v>39.26</v>
      </c>
    </row>
    <row r="50" spans="1:9" x14ac:dyDescent="0.25">
      <c r="A50" s="46" t="s">
        <v>63</v>
      </c>
      <c r="B50" s="47">
        <f>'12x36 DA'!B50</f>
        <v>6.0000000000000001E-3</v>
      </c>
      <c r="C50" s="48">
        <f t="shared" si="0"/>
        <v>22.43</v>
      </c>
      <c r="D50" s="48">
        <f>ROUNDDOWN(B$50*(D$33),2)</f>
        <v>23.55</v>
      </c>
    </row>
    <row r="51" spans="1:9" x14ac:dyDescent="0.25">
      <c r="A51" s="46" t="s">
        <v>64</v>
      </c>
      <c r="B51" s="47">
        <f>'12x36 DA'!B51</f>
        <v>2E-3</v>
      </c>
      <c r="C51" s="48">
        <f t="shared" si="0"/>
        <v>7.47</v>
      </c>
      <c r="D51" s="48">
        <f>ROUNDDOWN(B$51*(D$33),2)</f>
        <v>7.85</v>
      </c>
    </row>
    <row r="52" spans="1:9" x14ac:dyDescent="0.25">
      <c r="A52" s="46" t="s">
        <v>65</v>
      </c>
      <c r="B52" s="47">
        <f>'12x36 DA'!B52</f>
        <v>0.08</v>
      </c>
      <c r="C52" s="48">
        <f t="shared" si="0"/>
        <v>299.17</v>
      </c>
      <c r="D52" s="48">
        <f>ROUNDDOWN(B$52*(D$33),2)</f>
        <v>314.13</v>
      </c>
    </row>
    <row r="53" spans="1:9" x14ac:dyDescent="0.25">
      <c r="A53" s="89" t="s">
        <v>1</v>
      </c>
      <c r="B53" s="112">
        <f>SUM(B45:B52)</f>
        <v>0.35300000000000004</v>
      </c>
      <c r="C53" s="90">
        <f>SUM(C45:C52)</f>
        <v>1320.06</v>
      </c>
      <c r="D53" s="90">
        <f>SUM(D45:D52)</f>
        <v>1386.06</v>
      </c>
    </row>
    <row r="54" spans="1:9" s="36" customFormat="1" ht="3" customHeight="1" x14ac:dyDescent="0.25">
      <c r="A54" s="546"/>
      <c r="B54" s="547"/>
      <c r="C54" s="548"/>
      <c r="D54" s="91"/>
      <c r="E54" s="91"/>
      <c r="F54" s="91"/>
      <c r="G54" s="91"/>
      <c r="H54" s="91"/>
      <c r="I54" s="91"/>
    </row>
    <row r="55" spans="1:9" x14ac:dyDescent="0.25">
      <c r="A55" s="63" t="s">
        <v>32</v>
      </c>
      <c r="B55" s="54"/>
      <c r="C55" s="55" t="s">
        <v>6</v>
      </c>
      <c r="D55" s="55" t="s">
        <v>6</v>
      </c>
    </row>
    <row r="56" spans="1:9" x14ac:dyDescent="0.25">
      <c r="A56" s="46" t="s">
        <v>160</v>
      </c>
      <c r="B56" s="56">
        <v>5.5</v>
      </c>
      <c r="C56" s="48">
        <v>9.3800000000000008</v>
      </c>
      <c r="D56" s="48">
        <f>E56-F56</f>
        <v>1.5954000000000121</v>
      </c>
      <c r="E56" s="86">
        <f>5.5*2*15</f>
        <v>165</v>
      </c>
      <c r="F56" s="86">
        <f>D26*6%</f>
        <v>163.40459999999999</v>
      </c>
    </row>
    <row r="57" spans="1:9" x14ac:dyDescent="0.25">
      <c r="A57" s="46" t="s">
        <v>564</v>
      </c>
      <c r="B57" s="56">
        <f>'12x36 DA'!B57</f>
        <v>0</v>
      </c>
      <c r="C57" s="48">
        <f>45.12*15</f>
        <v>676.8</v>
      </c>
      <c r="D57" s="48">
        <f>47.37*15</f>
        <v>710.55</v>
      </c>
    </row>
    <row r="58" spans="1:9" x14ac:dyDescent="0.25">
      <c r="A58" s="46" t="s">
        <v>166</v>
      </c>
      <c r="B58" s="56">
        <f>B57*2%</f>
        <v>0</v>
      </c>
      <c r="C58" s="48">
        <f>(45.12*2%)*-15</f>
        <v>-13.536</v>
      </c>
      <c r="D58" s="48">
        <f>(47.37*2%)*-15</f>
        <v>-14.211</v>
      </c>
    </row>
    <row r="59" spans="1:9" x14ac:dyDescent="0.25">
      <c r="A59" s="46" t="s">
        <v>216</v>
      </c>
      <c r="B59" s="56"/>
      <c r="C59" s="48">
        <v>151.9</v>
      </c>
      <c r="D59" s="48">
        <v>164.05</v>
      </c>
    </row>
    <row r="60" spans="1:9" x14ac:dyDescent="0.25">
      <c r="A60" s="46" t="s">
        <v>210</v>
      </c>
      <c r="B60" s="56"/>
      <c r="C60" s="48">
        <v>10.33</v>
      </c>
      <c r="D60" s="48">
        <v>10.83</v>
      </c>
    </row>
    <row r="61" spans="1:9" x14ac:dyDescent="0.25">
      <c r="A61" s="46" t="s">
        <v>211</v>
      </c>
      <c r="B61" s="56"/>
      <c r="C61" s="48">
        <v>16.07</v>
      </c>
      <c r="D61" s="48">
        <v>18.170000000000002</v>
      </c>
    </row>
    <row r="62" spans="1:9" x14ac:dyDescent="0.25">
      <c r="A62" s="46" t="s">
        <v>215</v>
      </c>
      <c r="B62" s="56"/>
      <c r="C62" s="48">
        <v>8.17</v>
      </c>
      <c r="D62" s="48">
        <v>8.17</v>
      </c>
    </row>
    <row r="63" spans="1:9" x14ac:dyDescent="0.25">
      <c r="A63" s="92" t="s">
        <v>1</v>
      </c>
      <c r="B63" s="93"/>
      <c r="C63" s="94">
        <f>SUM(C56:C62)</f>
        <v>859.11400000000003</v>
      </c>
      <c r="D63" s="94">
        <f>SUM(D56:D62)</f>
        <v>899.15440000000001</v>
      </c>
    </row>
    <row r="64" spans="1:9" s="95" customFormat="1" ht="3" customHeight="1" x14ac:dyDescent="0.25">
      <c r="A64" s="546"/>
      <c r="B64" s="547"/>
      <c r="C64" s="548"/>
      <c r="D64" s="87"/>
      <c r="E64" s="87"/>
      <c r="F64" s="87"/>
      <c r="G64" s="87"/>
      <c r="H64" s="87"/>
      <c r="I64" s="87"/>
    </row>
    <row r="65" spans="1:5" x14ac:dyDescent="0.25">
      <c r="A65" s="63" t="s">
        <v>33</v>
      </c>
      <c r="B65" s="64"/>
      <c r="C65" s="65"/>
      <c r="D65" s="65"/>
    </row>
    <row r="66" spans="1:5" x14ac:dyDescent="0.25">
      <c r="A66" s="139" t="s">
        <v>73</v>
      </c>
      <c r="B66" s="139"/>
      <c r="C66" s="55" t="s">
        <v>29</v>
      </c>
      <c r="D66" s="55" t="s">
        <v>29</v>
      </c>
    </row>
    <row r="67" spans="1:5" x14ac:dyDescent="0.25">
      <c r="A67" s="71" t="s">
        <v>34</v>
      </c>
      <c r="B67" s="72">
        <f>B40</f>
        <v>0.1111</v>
      </c>
      <c r="C67" s="48">
        <f>C42</f>
        <v>562.13346074269998</v>
      </c>
      <c r="D67" s="48">
        <f>D42</f>
        <v>590.24665534990004</v>
      </c>
    </row>
    <row r="68" spans="1:5" s="39" customFormat="1" x14ac:dyDescent="0.25">
      <c r="A68" s="71" t="s">
        <v>115</v>
      </c>
      <c r="B68" s="72">
        <f>B53</f>
        <v>0.35300000000000004</v>
      </c>
      <c r="C68" s="48">
        <f>C53</f>
        <v>1320.06</v>
      </c>
      <c r="D68" s="48">
        <f>D53</f>
        <v>1386.06</v>
      </c>
    </row>
    <row r="69" spans="1:5" x14ac:dyDescent="0.25">
      <c r="A69" s="71" t="s">
        <v>35</v>
      </c>
      <c r="B69" s="72"/>
      <c r="C69" s="48">
        <f>C63</f>
        <v>859.11400000000003</v>
      </c>
      <c r="D69" s="48">
        <f>D63</f>
        <v>899.15440000000001</v>
      </c>
    </row>
    <row r="70" spans="1:5" x14ac:dyDescent="0.25">
      <c r="A70" s="138" t="s">
        <v>1</v>
      </c>
      <c r="B70" s="73">
        <f>SUM(B67:B69)</f>
        <v>0.46410000000000007</v>
      </c>
      <c r="C70" s="60">
        <f>SUM(C67:C69)</f>
        <v>2741.3074607426997</v>
      </c>
      <c r="D70" s="60">
        <f>SUM(D67:D69)</f>
        <v>2875.4610553499001</v>
      </c>
      <c r="E70" s="111"/>
    </row>
    <row r="71" spans="1:5" s="38" customFormat="1" ht="3" customHeight="1" x14ac:dyDescent="0.25">
      <c r="A71" s="74"/>
      <c r="B71" s="75"/>
      <c r="C71" s="76"/>
      <c r="D71" s="76"/>
    </row>
    <row r="72" spans="1:5" s="39" customFormat="1" x14ac:dyDescent="0.25">
      <c r="A72" s="50" t="s">
        <v>36</v>
      </c>
      <c r="B72" s="51"/>
      <c r="C72" s="52"/>
      <c r="D72" s="52"/>
    </row>
    <row r="73" spans="1:5" x14ac:dyDescent="0.25">
      <c r="A73" s="53" t="s">
        <v>37</v>
      </c>
      <c r="B73" s="66"/>
      <c r="C73" s="55" t="s">
        <v>29</v>
      </c>
      <c r="D73" s="55" t="s">
        <v>29</v>
      </c>
    </row>
    <row r="74" spans="1:5" x14ac:dyDescent="0.25">
      <c r="A74" s="46" t="s">
        <v>14</v>
      </c>
      <c r="B74" s="47">
        <f>'12x36 DA'!B74</f>
        <v>8.3333333333333328E-4</v>
      </c>
      <c r="C74" s="48">
        <f t="shared" ref="C74:C79" si="1">ROUNDDOWN((B74*C$33),2)</f>
        <v>3.11</v>
      </c>
      <c r="D74" s="48">
        <f>ROUNDDOWN((B$74*D$33),2)</f>
        <v>3.27</v>
      </c>
      <c r="E74" s="115"/>
    </row>
    <row r="75" spans="1:5" x14ac:dyDescent="0.25">
      <c r="A75" s="77" t="s">
        <v>15</v>
      </c>
      <c r="B75" s="78">
        <f>'12x36 DA'!B75</f>
        <v>6.666666666666667E-5</v>
      </c>
      <c r="C75" s="48">
        <f t="shared" si="1"/>
        <v>0.24</v>
      </c>
      <c r="D75" s="48">
        <f>ROUNDDOWN((B$75*D$33),2)</f>
        <v>0.26</v>
      </c>
    </row>
    <row r="76" spans="1:5" s="1" customFormat="1" x14ac:dyDescent="0.25">
      <c r="A76" s="77" t="s">
        <v>121</v>
      </c>
      <c r="B76" s="47">
        <f>'12x36 DA'!B76</f>
        <v>1.6000000000000003E-3</v>
      </c>
      <c r="C76" s="48">
        <f t="shared" si="1"/>
        <v>5.98</v>
      </c>
      <c r="D76" s="48">
        <f>ROUNDDOWN((B$76*D$33),2)</f>
        <v>6.28</v>
      </c>
    </row>
    <row r="77" spans="1:5" s="38" customFormat="1" x14ac:dyDescent="0.25">
      <c r="A77" s="79" t="s">
        <v>122</v>
      </c>
      <c r="B77" s="80">
        <f>'12x36 DA'!B77</f>
        <v>3.8888888888888892E-4</v>
      </c>
      <c r="C77" s="81">
        <f t="shared" si="1"/>
        <v>1.45</v>
      </c>
      <c r="D77" s="81">
        <f>ROUNDDOWN((B$77*D$33),2)</f>
        <v>1.52</v>
      </c>
    </row>
    <row r="78" spans="1:5" x14ac:dyDescent="0.25">
      <c r="A78" s="77" t="s">
        <v>123</v>
      </c>
      <c r="B78" s="47">
        <f>'12x36 DA'!B78</f>
        <v>1.372777777777778E-4</v>
      </c>
      <c r="C78" s="48">
        <f t="shared" si="1"/>
        <v>0.51</v>
      </c>
      <c r="D78" s="48">
        <f>ROUNDDOWN((B$78*D$33),2)</f>
        <v>0.53</v>
      </c>
    </row>
    <row r="79" spans="1:5" x14ac:dyDescent="0.25">
      <c r="A79" s="77" t="s">
        <v>124</v>
      </c>
      <c r="B79" s="47">
        <f>'12x36 DA'!B79</f>
        <v>3.2750666666666657E-2</v>
      </c>
      <c r="C79" s="48">
        <f t="shared" si="1"/>
        <v>122.47</v>
      </c>
      <c r="D79" s="48">
        <f>ROUNDDOWN((B$79*D$33),2)</f>
        <v>128.6</v>
      </c>
    </row>
    <row r="80" spans="1:5" x14ac:dyDescent="0.25">
      <c r="A80" s="138" t="s">
        <v>16</v>
      </c>
      <c r="B80" s="73">
        <f>SUM(B74:B79)</f>
        <v>3.5776833333333327E-2</v>
      </c>
      <c r="C80" s="60">
        <f>SUM(C74:C79)</f>
        <v>133.76</v>
      </c>
      <c r="D80" s="60">
        <f>SUM(D74:D79)</f>
        <v>140.45999999999998</v>
      </c>
    </row>
    <row r="81" spans="1:9" ht="3" customHeight="1" x14ac:dyDescent="0.25">
      <c r="A81" s="61"/>
      <c r="B81" s="67"/>
      <c r="C81" s="62"/>
      <c r="D81" s="62"/>
    </row>
    <row r="82" spans="1:9" s="39" customFormat="1" x14ac:dyDescent="0.25">
      <c r="A82" s="50" t="s">
        <v>38</v>
      </c>
      <c r="B82" s="51"/>
      <c r="C82" s="52"/>
      <c r="D82" s="52"/>
    </row>
    <row r="83" spans="1:9" x14ac:dyDescent="0.25">
      <c r="A83" s="53" t="s">
        <v>155</v>
      </c>
      <c r="B83" s="66"/>
      <c r="C83" s="55" t="s">
        <v>29</v>
      </c>
      <c r="D83" s="55" t="s">
        <v>29</v>
      </c>
    </row>
    <row r="84" spans="1:9" x14ac:dyDescent="0.25">
      <c r="A84" s="46" t="s">
        <v>149</v>
      </c>
      <c r="B84" s="80">
        <f>'12x36 DA'!B84</f>
        <v>8.3299999999999999E-2</v>
      </c>
      <c r="C84" s="48">
        <f>ROUNDDOWN((B84*C$33),2)</f>
        <v>311.51</v>
      </c>
      <c r="D84" s="48">
        <f>ROUNDDOWN((B$84*D$33),2)</f>
        <v>327.08999999999997</v>
      </c>
    </row>
    <row r="85" spans="1:9" x14ac:dyDescent="0.25">
      <c r="A85" s="46" t="s">
        <v>150</v>
      </c>
      <c r="B85" s="47">
        <f>'12x36 DA'!B85</f>
        <v>2.0000000000000001E-4</v>
      </c>
      <c r="C85" s="48">
        <f>ROUNDDOWN((B85*C$33),2)</f>
        <v>0.74</v>
      </c>
      <c r="D85" s="48">
        <f>ROUNDDOWN((B$85*D$33),2)</f>
        <v>0.78</v>
      </c>
    </row>
    <row r="86" spans="1:9" x14ac:dyDescent="0.25">
      <c r="A86" s="46" t="s">
        <v>151</v>
      </c>
      <c r="B86" s="47">
        <f>'12x36 DA'!B86</f>
        <v>2.0000000000000001E-4</v>
      </c>
      <c r="C86" s="48">
        <f>ROUNDDOWN((B86*C$33),2)</f>
        <v>0.74</v>
      </c>
      <c r="D86" s="48">
        <f>ROUNDDOWN((B$86*D$33),2)</f>
        <v>0.78</v>
      </c>
    </row>
    <row r="87" spans="1:9" x14ac:dyDescent="0.25">
      <c r="A87" s="46" t="s">
        <v>152</v>
      </c>
      <c r="B87" s="47">
        <f>'12x36 DA'!B87</f>
        <v>4.1666666666666664E-4</v>
      </c>
      <c r="C87" s="48">
        <f>ROUNDDOWN((B87*C$33),2)</f>
        <v>1.55</v>
      </c>
      <c r="D87" s="48">
        <f>ROUNDDOWN((B$87*D$33),2)</f>
        <v>1.63</v>
      </c>
    </row>
    <row r="88" spans="1:9" x14ac:dyDescent="0.25">
      <c r="A88" s="46" t="s">
        <v>153</v>
      </c>
      <c r="B88" s="47">
        <f>'12x36 DA'!B88</f>
        <v>2.0063888888888887E-4</v>
      </c>
      <c r="C88" s="48">
        <f>ROUNDDOWN((B88*C$33),2)</f>
        <v>0.75</v>
      </c>
      <c r="D88" s="48">
        <f>ROUNDDOWN((B$88*D$33),2)</f>
        <v>0.78</v>
      </c>
    </row>
    <row r="89" spans="1:9" ht="15.75" customHeight="1" x14ac:dyDescent="0.25">
      <c r="A89" s="150" t="s">
        <v>154</v>
      </c>
      <c r="B89" s="152">
        <f>'12x36 DA'!B89</f>
        <v>0</v>
      </c>
      <c r="C89" s="151">
        <f t="shared" ref="C89:D89" si="2">B89*C$33</f>
        <v>0</v>
      </c>
      <c r="D89" s="151">
        <f t="shared" si="2"/>
        <v>0</v>
      </c>
    </row>
    <row r="90" spans="1:9" ht="15" customHeight="1" x14ac:dyDescent="0.25">
      <c r="A90" s="82" t="s">
        <v>66</v>
      </c>
      <c r="B90" s="67">
        <f>'12x36 DA'!B90</f>
        <v>8.4317305555555555E-2</v>
      </c>
      <c r="C90" s="68">
        <f>SUM(C84:C89)</f>
        <v>315.29000000000002</v>
      </c>
      <c r="D90" s="68">
        <f>SUM(D84:D89)</f>
        <v>331.05999999999989</v>
      </c>
    </row>
    <row r="91" spans="1:9" ht="15" customHeight="1" x14ac:dyDescent="0.25">
      <c r="A91" s="138" t="s">
        <v>1</v>
      </c>
      <c r="B91" s="73">
        <f>SUM(B90:B90)</f>
        <v>8.4317305555555555E-2</v>
      </c>
      <c r="C91" s="60">
        <f>SUM(C90:C90)</f>
        <v>315.29000000000002</v>
      </c>
      <c r="D91" s="60">
        <f>SUM(D90:D90)</f>
        <v>331.05999999999989</v>
      </c>
      <c r="E91" s="111"/>
    </row>
    <row r="92" spans="1:9" x14ac:dyDescent="0.25">
      <c r="A92" s="53" t="s">
        <v>40</v>
      </c>
      <c r="B92" s="66"/>
      <c r="C92" s="55" t="s">
        <v>6</v>
      </c>
      <c r="D92" s="55" t="s">
        <v>6</v>
      </c>
    </row>
    <row r="93" spans="1:9" x14ac:dyDescent="0.25">
      <c r="A93" s="46" t="s">
        <v>41</v>
      </c>
      <c r="B93" s="47"/>
      <c r="C93" s="197">
        <f>ROUNDDOWN((C33/220*0.5*1*15),2)</f>
        <v>127.48</v>
      </c>
      <c r="D93" s="197">
        <f>ROUNDDOWN((D33/220*0.5*1*15),2)</f>
        <v>133.86000000000001</v>
      </c>
    </row>
    <row r="94" spans="1:9" ht="1.5" customHeight="1" x14ac:dyDescent="0.25">
      <c r="A94" s="61"/>
      <c r="B94" s="67"/>
      <c r="C94" s="62"/>
      <c r="D94" s="62"/>
    </row>
    <row r="95" spans="1:9" ht="15" customHeight="1" x14ac:dyDescent="0.25">
      <c r="A95" s="138" t="s">
        <v>45</v>
      </c>
      <c r="B95" s="73"/>
      <c r="C95" s="60">
        <f>SUM(C92:C93)</f>
        <v>127.48</v>
      </c>
      <c r="D95" s="60">
        <f>SUM(D92:D93)</f>
        <v>133.86000000000001</v>
      </c>
    </row>
    <row r="96" spans="1:9" s="36" customFormat="1" ht="3" customHeight="1" x14ac:dyDescent="0.25">
      <c r="A96" s="546"/>
      <c r="B96" s="547"/>
      <c r="C96" s="548"/>
      <c r="D96" s="96"/>
      <c r="E96" s="96"/>
      <c r="F96" s="96"/>
      <c r="G96" s="96"/>
      <c r="H96" s="96"/>
      <c r="I96" s="96"/>
    </row>
    <row r="97" spans="1:4" x14ac:dyDescent="0.25">
      <c r="A97" s="63" t="s">
        <v>42</v>
      </c>
      <c r="B97" s="64"/>
      <c r="C97" s="65"/>
      <c r="D97" s="65"/>
    </row>
    <row r="98" spans="1:4" x14ac:dyDescent="0.25">
      <c r="A98" s="139" t="s">
        <v>17</v>
      </c>
      <c r="B98" s="139"/>
      <c r="C98" s="55" t="s">
        <v>6</v>
      </c>
      <c r="D98" s="55" t="s">
        <v>6</v>
      </c>
    </row>
    <row r="99" spans="1:4" x14ac:dyDescent="0.25">
      <c r="A99" s="71" t="s">
        <v>43</v>
      </c>
      <c r="B99" s="72">
        <f>'12x36 DA'!B98</f>
        <v>8.4317305555555555E-2</v>
      </c>
      <c r="C99" s="48">
        <f>C91</f>
        <v>315.29000000000002</v>
      </c>
      <c r="D99" s="48">
        <f>D91</f>
        <v>331.05999999999989</v>
      </c>
    </row>
    <row r="100" spans="1:4" s="39" customFormat="1" x14ac:dyDescent="0.25">
      <c r="A100" s="71" t="s">
        <v>44</v>
      </c>
      <c r="B100" s="72"/>
      <c r="C100" s="197">
        <f>C93</f>
        <v>127.48</v>
      </c>
      <c r="D100" s="197">
        <f>D93</f>
        <v>133.86000000000001</v>
      </c>
    </row>
    <row r="101" spans="1:4" x14ac:dyDescent="0.25">
      <c r="A101" s="138" t="s">
        <v>1</v>
      </c>
      <c r="B101" s="73">
        <f>SUM(B99:B100)</f>
        <v>8.4317305555555555E-2</v>
      </c>
      <c r="C101" s="60">
        <f>SUM(C99:C100)</f>
        <v>442.77000000000004</v>
      </c>
      <c r="D101" s="60">
        <f>SUM(D99:D100)</f>
        <v>464.9199999999999</v>
      </c>
    </row>
    <row r="102" spans="1:4" s="38" customFormat="1" ht="3" customHeight="1" x14ac:dyDescent="0.25">
      <c r="A102" s="74"/>
      <c r="B102" s="75"/>
      <c r="C102" s="76"/>
      <c r="D102" s="76"/>
    </row>
    <row r="103" spans="1:4" s="39" customFormat="1" x14ac:dyDescent="0.25">
      <c r="A103" s="50" t="s">
        <v>46</v>
      </c>
      <c r="B103" s="51"/>
      <c r="C103" s="52"/>
      <c r="D103" s="52"/>
    </row>
    <row r="104" spans="1:4" x14ac:dyDescent="0.25">
      <c r="A104" s="53" t="s">
        <v>47</v>
      </c>
      <c r="B104" s="54"/>
      <c r="C104" s="55" t="s">
        <v>6</v>
      </c>
      <c r="D104" s="55" t="s">
        <v>6</v>
      </c>
    </row>
    <row r="105" spans="1:4" x14ac:dyDescent="0.25">
      <c r="A105" s="46" t="s">
        <v>11</v>
      </c>
      <c r="B105" s="56"/>
      <c r="C105" s="48">
        <f>'Uniformes -IV'!H11</f>
        <v>46.709999999999987</v>
      </c>
      <c r="D105" s="48">
        <f>C105</f>
        <v>46.709999999999987</v>
      </c>
    </row>
    <row r="106" spans="1:4" x14ac:dyDescent="0.25">
      <c r="A106" s="46" t="s">
        <v>190</v>
      </c>
      <c r="B106" s="56"/>
      <c r="C106" s="48">
        <f>'Equipamentos-IV'!I13</f>
        <v>8.4816666666666674</v>
      </c>
      <c r="D106" s="48">
        <f>C106</f>
        <v>8.4816666666666674</v>
      </c>
    </row>
    <row r="107" spans="1:4" x14ac:dyDescent="0.25">
      <c r="A107" s="46" t="s">
        <v>146</v>
      </c>
      <c r="B107" s="56"/>
      <c r="C107" s="48">
        <f>'Equipamentos-IV'!I24</f>
        <v>16.15583333333333</v>
      </c>
      <c r="D107" s="48">
        <f>C107</f>
        <v>16.15583333333333</v>
      </c>
    </row>
    <row r="108" spans="1:4" x14ac:dyDescent="0.25">
      <c r="A108" s="46" t="s">
        <v>145</v>
      </c>
      <c r="B108" s="56"/>
      <c r="C108" s="48">
        <v>0</v>
      </c>
      <c r="D108" s="48">
        <v>0</v>
      </c>
    </row>
    <row r="109" spans="1:4" x14ac:dyDescent="0.25">
      <c r="A109" s="138" t="s">
        <v>12</v>
      </c>
      <c r="B109" s="73"/>
      <c r="C109" s="60">
        <f>SUM(C105:C108)</f>
        <v>71.347499999999982</v>
      </c>
      <c r="D109" s="60">
        <f>SUM(D105:D108)</f>
        <v>71.347499999999982</v>
      </c>
    </row>
    <row r="110" spans="1:4" ht="3" customHeight="1" x14ac:dyDescent="0.25">
      <c r="A110" s="61"/>
      <c r="B110" s="57"/>
      <c r="C110" s="62"/>
      <c r="D110" s="62"/>
    </row>
    <row r="111" spans="1:4" x14ac:dyDescent="0.25">
      <c r="A111" s="50" t="s">
        <v>48</v>
      </c>
      <c r="B111" s="51"/>
      <c r="C111" s="52"/>
      <c r="D111" s="52"/>
    </row>
    <row r="112" spans="1:4" x14ac:dyDescent="0.25">
      <c r="A112" s="53" t="s">
        <v>49</v>
      </c>
      <c r="B112" s="54"/>
      <c r="C112" s="83" t="s">
        <v>6</v>
      </c>
      <c r="D112" s="83" t="s">
        <v>6</v>
      </c>
    </row>
    <row r="113" spans="1:5" x14ac:dyDescent="0.25">
      <c r="A113" s="46" t="s">
        <v>18</v>
      </c>
      <c r="B113" s="47">
        <f>'12x36 DA'!B112</f>
        <v>5.0000000000000001E-3</v>
      </c>
      <c r="C113" s="48">
        <f>ROUNDDOWN((C129*B113),2)</f>
        <v>35.64</v>
      </c>
      <c r="D113" s="48">
        <f>ROUNDDOWN((D129*B$113),2)</f>
        <v>37.39</v>
      </c>
      <c r="E113" s="132"/>
    </row>
    <row r="114" spans="1:5" x14ac:dyDescent="0.25">
      <c r="A114" s="46" t="s">
        <v>19</v>
      </c>
      <c r="B114" s="47">
        <f>'12x36 DA'!B113</f>
        <v>2.5000000000000001E-3</v>
      </c>
      <c r="C114" s="48">
        <f>ROUNDDOWN((C129+C113)*B114,2)</f>
        <v>17.91</v>
      </c>
      <c r="D114" s="48">
        <f>ROUNDDOWN((D129+D113)*B$114,2)</f>
        <v>18.79</v>
      </c>
      <c r="E114" s="132"/>
    </row>
    <row r="115" spans="1:5" x14ac:dyDescent="0.25">
      <c r="A115" s="46" t="s">
        <v>20</v>
      </c>
      <c r="B115" s="47">
        <f>SUM(B116:B118)</f>
        <v>8.6499999999999994E-2</v>
      </c>
      <c r="C115" s="81">
        <f ca="1">SUM(C116:C118)</f>
        <v>680.1</v>
      </c>
      <c r="D115" s="81">
        <f ca="1">SUM(D116:D118)</f>
        <v>713.49684131118374</v>
      </c>
      <c r="E115" s="132"/>
    </row>
    <row r="116" spans="1:5" x14ac:dyDescent="0.25">
      <c r="A116" s="46" t="s">
        <v>108</v>
      </c>
      <c r="B116" s="113">
        <v>3.6499999999999998E-2</v>
      </c>
      <c r="C116" s="114">
        <f ca="1">ROUNDDOWN((C131*B116),2)</f>
        <v>286.98</v>
      </c>
      <c r="D116" s="114">
        <f ca="1">D131*B116</f>
        <v>301.07092147812955</v>
      </c>
    </row>
    <row r="117" spans="1:5" x14ac:dyDescent="0.25">
      <c r="A117" s="46" t="s">
        <v>21</v>
      </c>
      <c r="B117" s="113">
        <v>0</v>
      </c>
      <c r="C117" s="114"/>
      <c r="D117" s="114"/>
      <c r="E117" s="132"/>
    </row>
    <row r="118" spans="1:5" x14ac:dyDescent="0.25">
      <c r="A118" s="46" t="s">
        <v>22</v>
      </c>
      <c r="B118" s="113">
        <v>0.05</v>
      </c>
      <c r="C118" s="114">
        <f ca="1">ROUNDDOWN((C131*B118),2)</f>
        <v>393.12</v>
      </c>
      <c r="D118" s="114">
        <f ca="1">D131*B118</f>
        <v>412.42591983305419</v>
      </c>
      <c r="E118" s="132"/>
    </row>
    <row r="119" spans="1:5" x14ac:dyDescent="0.25">
      <c r="A119" s="46" t="s">
        <v>23</v>
      </c>
      <c r="B119" s="56"/>
      <c r="C119" s="48"/>
      <c r="D119" s="48"/>
    </row>
    <row r="120" spans="1:5" x14ac:dyDescent="0.25">
      <c r="A120" s="138" t="s">
        <v>24</v>
      </c>
      <c r="B120" s="73"/>
      <c r="C120" s="60">
        <f ca="1">SUM(C113:C115)</f>
        <v>733.65</v>
      </c>
      <c r="D120" s="60">
        <f ca="1">SUM(D113:D115)</f>
        <v>769.67684131118369</v>
      </c>
      <c r="E120" s="132"/>
    </row>
    <row r="121" spans="1:5" ht="3" customHeight="1" x14ac:dyDescent="0.25">
      <c r="A121" s="61"/>
      <c r="B121" s="57"/>
      <c r="C121" s="62"/>
      <c r="D121" s="62"/>
    </row>
    <row r="122" spans="1:5" x14ac:dyDescent="0.25">
      <c r="A122" s="556" t="s">
        <v>25</v>
      </c>
      <c r="B122" s="556"/>
      <c r="C122" s="556"/>
      <c r="D122" s="37"/>
    </row>
    <row r="123" spans="1:5" x14ac:dyDescent="0.25">
      <c r="A123" s="557" t="s">
        <v>26</v>
      </c>
      <c r="B123" s="557"/>
      <c r="C123" s="55" t="s">
        <v>6</v>
      </c>
      <c r="D123" s="55" t="s">
        <v>6</v>
      </c>
    </row>
    <row r="124" spans="1:5" x14ac:dyDescent="0.25">
      <c r="A124" s="558" t="s">
        <v>27</v>
      </c>
      <c r="B124" s="558"/>
      <c r="C124" s="62">
        <f>C33</f>
        <v>3739.6689999999999</v>
      </c>
      <c r="D124" s="62">
        <f>D33</f>
        <v>3926.6529999999998</v>
      </c>
    </row>
    <row r="125" spans="1:5" x14ac:dyDescent="0.25">
      <c r="A125" s="558" t="s">
        <v>50</v>
      </c>
      <c r="B125" s="558"/>
      <c r="C125" s="62">
        <f>C70</f>
        <v>2741.3074607426997</v>
      </c>
      <c r="D125" s="62">
        <f>D70</f>
        <v>2875.4610553499001</v>
      </c>
    </row>
    <row r="126" spans="1:5" x14ac:dyDescent="0.25">
      <c r="A126" s="558" t="s">
        <v>51</v>
      </c>
      <c r="B126" s="558"/>
      <c r="C126" s="62">
        <f>C80</f>
        <v>133.76</v>
      </c>
      <c r="D126" s="62">
        <f>D80</f>
        <v>140.45999999999998</v>
      </c>
    </row>
    <row r="127" spans="1:5" x14ac:dyDescent="0.25">
      <c r="A127" s="558" t="s">
        <v>52</v>
      </c>
      <c r="B127" s="558"/>
      <c r="C127" s="62">
        <f>C101</f>
        <v>442.77000000000004</v>
      </c>
      <c r="D127" s="62">
        <f>D101</f>
        <v>464.9199999999999</v>
      </c>
    </row>
    <row r="128" spans="1:5" x14ac:dyDescent="0.25">
      <c r="A128" s="558" t="s">
        <v>53</v>
      </c>
      <c r="B128" s="558"/>
      <c r="C128" s="62">
        <f>C109</f>
        <v>71.347499999999982</v>
      </c>
      <c r="D128" s="62">
        <f>D109</f>
        <v>71.347499999999982</v>
      </c>
    </row>
    <row r="129" spans="1:5" x14ac:dyDescent="0.25">
      <c r="A129" s="559" t="s">
        <v>55</v>
      </c>
      <c r="B129" s="559"/>
      <c r="C129" s="62">
        <f>SUM(C124:C128)</f>
        <v>7128.8539607427001</v>
      </c>
      <c r="D129" s="62">
        <f>SUM(D124:D128)</f>
        <v>7478.8415553498999</v>
      </c>
    </row>
    <row r="130" spans="1:5" x14ac:dyDescent="0.25">
      <c r="A130" s="558" t="s">
        <v>54</v>
      </c>
      <c r="B130" s="558"/>
      <c r="C130" s="62">
        <f ca="1">C120</f>
        <v>733.65</v>
      </c>
      <c r="D130" s="62">
        <f ca="1">D120</f>
        <v>769.67684131118369</v>
      </c>
    </row>
    <row r="131" spans="1:5" ht="15.75" customHeight="1" x14ac:dyDescent="0.25">
      <c r="A131" s="555" t="s">
        <v>28</v>
      </c>
      <c r="B131" s="555"/>
      <c r="C131" s="60">
        <f ca="1">SUM(C129:C130)</f>
        <v>7862.5039607426997</v>
      </c>
      <c r="D131" s="60">
        <f ca="1">SUM(D129:D130)</f>
        <v>8248.5183966610839</v>
      </c>
    </row>
    <row r="132" spans="1:5" ht="6" customHeight="1" x14ac:dyDescent="0.25">
      <c r="A132" s="560"/>
      <c r="B132" s="561"/>
      <c r="C132" s="562"/>
      <c r="D132" s="37"/>
    </row>
    <row r="133" spans="1:5" ht="15.75" customHeight="1" x14ac:dyDescent="0.25">
      <c r="A133" s="555" t="s">
        <v>70</v>
      </c>
      <c r="B133" s="555"/>
      <c r="C133" s="60">
        <f ca="1">C131*2</f>
        <v>15725.007921485399</v>
      </c>
      <c r="D133" s="60">
        <f ca="1">D131*2</f>
        <v>16497.036793322168</v>
      </c>
      <c r="E133" s="86">
        <f ca="1">D133/C133</f>
        <v>1.0490956109969223</v>
      </c>
    </row>
    <row r="134" spans="1:5" x14ac:dyDescent="0.25">
      <c r="B134" s="37"/>
      <c r="C134" s="37"/>
      <c r="D134" s="37"/>
    </row>
    <row r="135" spans="1:5" x14ac:dyDescent="0.25">
      <c r="B135" s="37"/>
      <c r="C135" s="37"/>
      <c r="D135" s="37"/>
    </row>
    <row r="136" spans="1:5" x14ac:dyDescent="0.25">
      <c r="B136" s="37"/>
      <c r="C136" s="37"/>
      <c r="D136" s="37"/>
    </row>
    <row r="137" spans="1:5" x14ac:dyDescent="0.25">
      <c r="B137" s="37"/>
      <c r="C137" s="37"/>
      <c r="D137" s="37"/>
    </row>
    <row r="138" spans="1:5" x14ac:dyDescent="0.25">
      <c r="B138" s="37"/>
      <c r="C138" s="37"/>
      <c r="D138" s="37"/>
    </row>
    <row r="139" spans="1:5" x14ac:dyDescent="0.25">
      <c r="B139" s="37"/>
      <c r="C139" s="37"/>
      <c r="D139" s="37"/>
    </row>
    <row r="140" spans="1:5" x14ac:dyDescent="0.25">
      <c r="B140" s="37"/>
      <c r="C140" s="37"/>
      <c r="D140" s="37"/>
    </row>
    <row r="141" spans="1:5" x14ac:dyDescent="0.25">
      <c r="B141" s="37"/>
      <c r="C141" s="37"/>
      <c r="D141" s="37"/>
    </row>
    <row r="142" spans="1:5" x14ac:dyDescent="0.25">
      <c r="B142" s="37"/>
      <c r="C142" s="37"/>
      <c r="D142" s="37"/>
    </row>
    <row r="143" spans="1:5" x14ac:dyDescent="0.25">
      <c r="A143" s="40"/>
      <c r="B143" s="37"/>
      <c r="C143" s="37"/>
      <c r="D143" s="37"/>
    </row>
    <row r="144" spans="1:5" x14ac:dyDescent="0.25">
      <c r="B144" s="37"/>
      <c r="C144" s="37"/>
      <c r="D144" s="37"/>
    </row>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sheetData>
  <mergeCells count="31">
    <mergeCell ref="A133:B133"/>
    <mergeCell ref="A122:C122"/>
    <mergeCell ref="A123:B123"/>
    <mergeCell ref="A124:B124"/>
    <mergeCell ref="A125:B125"/>
    <mergeCell ref="A126:B126"/>
    <mergeCell ref="A127:B127"/>
    <mergeCell ref="A128:B128"/>
    <mergeCell ref="A129:B129"/>
    <mergeCell ref="A130:B130"/>
    <mergeCell ref="A131:B131"/>
    <mergeCell ref="A132:C132"/>
    <mergeCell ref="A17:B17"/>
    <mergeCell ref="A16:D16"/>
    <mergeCell ref="A96:C96"/>
    <mergeCell ref="A23:C23"/>
    <mergeCell ref="A34:C34"/>
    <mergeCell ref="A43:C43"/>
    <mergeCell ref="A54:C54"/>
    <mergeCell ref="A64:C64"/>
    <mergeCell ref="A44:D44"/>
    <mergeCell ref="B8:C8"/>
    <mergeCell ref="B9:C9"/>
    <mergeCell ref="B10:C10"/>
    <mergeCell ref="A14:B14"/>
    <mergeCell ref="A15:C15"/>
    <mergeCell ref="A1:C1"/>
    <mergeCell ref="A2:C2"/>
    <mergeCell ref="A5:C5"/>
    <mergeCell ref="A6:C6"/>
    <mergeCell ref="B7:C7"/>
  </mergeCells>
  <pageMargins left="0.511811024" right="0.511811024" top="0.78740157499999996" bottom="0.78740157499999996" header="0.31496062000000002" footer="0.31496062000000002"/>
  <pageSetup paperSize="9" scale="68" orientation="portrait" r:id="rId1"/>
  <rowBreaks count="1" manualBreakCount="1">
    <brk id="64" max="3" man="1"/>
  </rowBreaks>
  <colBreaks count="1" manualBreakCount="1">
    <brk id="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25"/>
  <sheetViews>
    <sheetView showGridLines="0" view="pageBreakPreview" topLeftCell="A33" zoomScale="96" zoomScaleNormal="100" zoomScaleSheetLayoutView="96" workbookViewId="0">
      <selection activeCell="D56" sqref="D56:D62"/>
    </sheetView>
  </sheetViews>
  <sheetFormatPr defaultRowHeight="12.75" x14ac:dyDescent="0.25"/>
  <cols>
    <col min="1" max="1" width="92.7109375" style="37" customWidth="1"/>
    <col min="2" max="2" width="15.28515625" style="41" customWidth="1"/>
    <col min="3" max="4" width="23.7109375" style="41" customWidth="1"/>
    <col min="5" max="5" width="18.42578125" style="37" customWidth="1"/>
    <col min="6" max="6" width="9.85546875" style="37" bestFit="1" customWidth="1"/>
    <col min="7" max="16384" width="9.140625" style="37"/>
  </cols>
  <sheetData>
    <row r="1" spans="1:5" s="43" customFormat="1" ht="27" customHeight="1" x14ac:dyDescent="0.25">
      <c r="A1" s="535" t="s">
        <v>229</v>
      </c>
      <c r="B1" s="535"/>
      <c r="C1" s="535"/>
      <c r="D1" s="42"/>
      <c r="E1" s="42"/>
    </row>
    <row r="2" spans="1:5" s="43" customFormat="1" ht="31.5" customHeight="1" x14ac:dyDescent="0.25">
      <c r="A2" s="536" t="s">
        <v>101</v>
      </c>
      <c r="B2" s="536"/>
      <c r="C2" s="536"/>
    </row>
    <row r="3" spans="1:5" s="43" customFormat="1" ht="15.75" customHeight="1" x14ac:dyDescent="0.25">
      <c r="A3" s="44" t="s">
        <v>480</v>
      </c>
      <c r="B3" s="44"/>
      <c r="C3" s="44"/>
      <c r="D3" s="44"/>
    </row>
    <row r="4" spans="1:5" s="43" customFormat="1" ht="15.75" customHeight="1" x14ac:dyDescent="0.25">
      <c r="A4" s="44" t="s">
        <v>482</v>
      </c>
      <c r="B4" s="44"/>
      <c r="C4" s="44"/>
      <c r="D4" s="44"/>
    </row>
    <row r="5" spans="1:5" s="43" customFormat="1" ht="14.85" customHeight="1" x14ac:dyDescent="0.25">
      <c r="A5" s="537"/>
      <c r="B5" s="537"/>
      <c r="C5" s="537"/>
    </row>
    <row r="6" spans="1:5" s="43" customFormat="1" ht="20.25" customHeight="1" x14ac:dyDescent="0.25">
      <c r="A6" s="538" t="s">
        <v>80</v>
      </c>
      <c r="B6" s="538"/>
      <c r="C6" s="538"/>
    </row>
    <row r="7" spans="1:5" s="43" customFormat="1" ht="15.75" customHeight="1" x14ac:dyDescent="0.25">
      <c r="A7" s="44" t="s">
        <v>81</v>
      </c>
      <c r="B7" s="539"/>
      <c r="C7" s="539"/>
    </row>
    <row r="8" spans="1:5" s="43" customFormat="1" ht="15.75" customHeight="1" x14ac:dyDescent="0.25">
      <c r="A8" s="44" t="s">
        <v>82</v>
      </c>
      <c r="B8" s="540" t="s">
        <v>2</v>
      </c>
      <c r="C8" s="540"/>
    </row>
    <row r="9" spans="1:5" s="43" customFormat="1" ht="20.100000000000001" customHeight="1" x14ac:dyDescent="0.25">
      <c r="A9" s="44" t="s">
        <v>83</v>
      </c>
      <c r="B9" s="541" t="s">
        <v>565</v>
      </c>
      <c r="C9" s="541"/>
    </row>
    <row r="10" spans="1:5" s="43" customFormat="1" ht="15.75" customHeight="1" x14ac:dyDescent="0.25">
      <c r="A10" s="44" t="s">
        <v>84</v>
      </c>
      <c r="B10" s="541" t="s">
        <v>85</v>
      </c>
      <c r="C10" s="541"/>
    </row>
    <row r="11" spans="1:5" s="43" customFormat="1" ht="21.2" customHeight="1" x14ac:dyDescent="0.25">
      <c r="A11" s="44" t="s">
        <v>86</v>
      </c>
      <c r="B11" s="44"/>
      <c r="C11" s="44"/>
      <c r="D11" s="44"/>
    </row>
    <row r="12" spans="1:5" s="43" customFormat="1" ht="47.25" customHeight="1" x14ac:dyDescent="0.25">
      <c r="A12" s="84" t="s">
        <v>92</v>
      </c>
      <c r="B12" s="84" t="s">
        <v>87</v>
      </c>
      <c r="C12" s="84" t="s">
        <v>88</v>
      </c>
      <c r="D12" s="84" t="s">
        <v>88</v>
      </c>
    </row>
    <row r="13" spans="1:5" s="43" customFormat="1" ht="36" customHeight="1" x14ac:dyDescent="0.25">
      <c r="A13" s="45" t="str">
        <f>A1</f>
        <v>Posto de Vigilância Armada diurna 44hs = 2a. a Sexta Feira</v>
      </c>
      <c r="B13" s="140" t="s">
        <v>89</v>
      </c>
      <c r="C13" s="85">
        <v>3</v>
      </c>
      <c r="D13" s="85">
        <v>3</v>
      </c>
    </row>
    <row r="14" spans="1:5" s="43" customFormat="1" ht="18.75" customHeight="1" x14ac:dyDescent="0.25">
      <c r="A14" s="538" t="s">
        <v>90</v>
      </c>
      <c r="B14" s="538"/>
      <c r="C14" s="85">
        <f>SUM(C13)</f>
        <v>3</v>
      </c>
      <c r="D14" s="85">
        <f>SUM(D13)</f>
        <v>3</v>
      </c>
    </row>
    <row r="15" spans="1:5" s="43" customFormat="1" ht="18" customHeight="1" x14ac:dyDescent="0.25">
      <c r="A15" s="542" t="s">
        <v>91</v>
      </c>
      <c r="B15" s="543"/>
      <c r="C15" s="544"/>
    </row>
    <row r="16" spans="1:5" x14ac:dyDescent="0.25">
      <c r="A16" s="583" t="s">
        <v>93</v>
      </c>
      <c r="B16" s="584"/>
      <c r="C16" s="584"/>
      <c r="D16" s="584"/>
    </row>
    <row r="17" spans="1:9" x14ac:dyDescent="0.25">
      <c r="A17" s="585" t="s">
        <v>94</v>
      </c>
      <c r="B17" s="586"/>
      <c r="C17" s="586"/>
      <c r="D17" s="586"/>
    </row>
    <row r="18" spans="1:9" s="38" customFormat="1" x14ac:dyDescent="0.2">
      <c r="A18" s="49" t="s">
        <v>3</v>
      </c>
      <c r="C18" s="432" t="s">
        <v>95</v>
      </c>
      <c r="D18" s="432" t="s">
        <v>95</v>
      </c>
    </row>
    <row r="19" spans="1:9" s="38" customFormat="1" x14ac:dyDescent="0.2">
      <c r="A19" s="49" t="s">
        <v>96</v>
      </c>
      <c r="C19" s="433" t="s">
        <v>120</v>
      </c>
      <c r="D19" s="433" t="s">
        <v>120</v>
      </c>
    </row>
    <row r="20" spans="1:9" s="38" customFormat="1" x14ac:dyDescent="0.2">
      <c r="A20" s="49" t="s">
        <v>97</v>
      </c>
      <c r="C20" s="434">
        <f>'12X36 NA'!B20:C20</f>
        <v>2593.73</v>
      </c>
      <c r="D20" s="434">
        <f>'12X36 NA'!C20:D20</f>
        <v>2723.41</v>
      </c>
    </row>
    <row r="21" spans="1:9" s="38" customFormat="1" x14ac:dyDescent="0.2">
      <c r="A21" s="49" t="s">
        <v>98</v>
      </c>
      <c r="C21" s="435" t="s">
        <v>100</v>
      </c>
      <c r="D21" s="435" t="s">
        <v>100</v>
      </c>
    </row>
    <row r="22" spans="1:9" s="38" customFormat="1" x14ac:dyDescent="0.2">
      <c r="A22" s="49" t="s">
        <v>99</v>
      </c>
      <c r="C22" s="436">
        <v>44927</v>
      </c>
      <c r="D22" s="436">
        <v>44927</v>
      </c>
    </row>
    <row r="23" spans="1:9" s="36" customFormat="1" ht="21" customHeight="1" x14ac:dyDescent="0.25">
      <c r="A23" s="546" t="s">
        <v>102</v>
      </c>
      <c r="B23" s="547"/>
      <c r="C23" s="548"/>
      <c r="D23" s="87"/>
      <c r="E23" s="87"/>
      <c r="F23" s="87"/>
      <c r="G23" s="87"/>
      <c r="H23" s="87"/>
      <c r="I23" s="87"/>
    </row>
    <row r="24" spans="1:9" x14ac:dyDescent="0.25">
      <c r="A24" s="50" t="s">
        <v>4</v>
      </c>
      <c r="B24" s="51"/>
      <c r="C24" s="52">
        <v>2023</v>
      </c>
      <c r="D24" s="52">
        <v>2024</v>
      </c>
    </row>
    <row r="25" spans="1:9" x14ac:dyDescent="0.25">
      <c r="A25" s="53" t="s">
        <v>5</v>
      </c>
      <c r="B25" s="54"/>
      <c r="C25" s="55" t="s">
        <v>6</v>
      </c>
      <c r="D25" s="55" t="s">
        <v>6</v>
      </c>
    </row>
    <row r="26" spans="1:9" x14ac:dyDescent="0.25">
      <c r="A26" s="46" t="s">
        <v>7</v>
      </c>
      <c r="B26" s="47">
        <v>1</v>
      </c>
      <c r="C26" s="48">
        <f>C20</f>
        <v>2593.73</v>
      </c>
      <c r="D26" s="48">
        <f>D20</f>
        <v>2723.41</v>
      </c>
    </row>
    <row r="27" spans="1:9" x14ac:dyDescent="0.25">
      <c r="A27" s="46" t="s">
        <v>8</v>
      </c>
      <c r="B27" s="47">
        <v>0.3</v>
      </c>
      <c r="C27" s="48">
        <f>(C26*30%)</f>
        <v>778.11900000000003</v>
      </c>
      <c r="D27" s="48">
        <f>(D26*30%)</f>
        <v>817.02299999999991</v>
      </c>
    </row>
    <row r="28" spans="1:9" x14ac:dyDescent="0.25">
      <c r="A28" s="46" t="s">
        <v>9</v>
      </c>
      <c r="B28" s="47"/>
      <c r="C28" s="48"/>
      <c r="D28" s="48"/>
    </row>
    <row r="29" spans="1:9" x14ac:dyDescent="0.25">
      <c r="A29" s="46" t="s">
        <v>164</v>
      </c>
      <c r="B29" s="47"/>
      <c r="C29" s="48"/>
      <c r="D29" s="48"/>
    </row>
    <row r="30" spans="1:9" x14ac:dyDescent="0.25">
      <c r="A30" s="46" t="s">
        <v>165</v>
      </c>
      <c r="B30" s="47"/>
      <c r="C30" s="48"/>
      <c r="D30" s="48"/>
    </row>
    <row r="31" spans="1:9" x14ac:dyDescent="0.25">
      <c r="A31" s="46" t="s">
        <v>57</v>
      </c>
      <c r="B31" s="47"/>
      <c r="C31" s="48">
        <v>0</v>
      </c>
      <c r="D31" s="48">
        <v>0</v>
      </c>
    </row>
    <row r="32" spans="1:9" s="38" customFormat="1" x14ac:dyDescent="0.25">
      <c r="A32" s="79" t="s">
        <v>71</v>
      </c>
      <c r="B32" s="47">
        <f>C32/C26</f>
        <v>0</v>
      </c>
      <c r="C32" s="81"/>
      <c r="D32" s="81"/>
    </row>
    <row r="33" spans="1:9" x14ac:dyDescent="0.25">
      <c r="A33" s="58" t="s">
        <v>10</v>
      </c>
      <c r="B33" s="59"/>
      <c r="C33" s="60">
        <f>SUM(C26:C32)</f>
        <v>3371.8490000000002</v>
      </c>
      <c r="D33" s="60">
        <f>SUM(D26:D32)</f>
        <v>3540.433</v>
      </c>
    </row>
    <row r="34" spans="1:9" s="36" customFormat="1" ht="3" customHeight="1" x14ac:dyDescent="0.25">
      <c r="A34" s="590"/>
      <c r="B34" s="591"/>
      <c r="C34" s="591"/>
      <c r="D34" s="591"/>
      <c r="E34" s="88"/>
      <c r="F34" s="88"/>
      <c r="G34" s="88"/>
      <c r="H34" s="88"/>
      <c r="I34" s="88"/>
    </row>
    <row r="35" spans="1:9" x14ac:dyDescent="0.25">
      <c r="A35" s="50" t="s">
        <v>30</v>
      </c>
      <c r="B35" s="51"/>
      <c r="C35" s="52"/>
      <c r="D35" s="52"/>
    </row>
    <row r="36" spans="1:9" x14ac:dyDescent="0.25">
      <c r="A36" s="63" t="s">
        <v>31</v>
      </c>
      <c r="B36" s="64"/>
      <c r="C36" s="65"/>
      <c r="D36" s="65"/>
    </row>
    <row r="37" spans="1:9" x14ac:dyDescent="0.25">
      <c r="A37" s="53" t="s">
        <v>128</v>
      </c>
      <c r="B37" s="66"/>
      <c r="C37" s="55" t="s">
        <v>29</v>
      </c>
      <c r="D37" s="55" t="s">
        <v>29</v>
      </c>
    </row>
    <row r="38" spans="1:9" x14ac:dyDescent="0.25">
      <c r="A38" s="46" t="s">
        <v>58</v>
      </c>
      <c r="B38" s="47">
        <f>'12X36 NA'!B38</f>
        <v>8.3299999999999999E-2</v>
      </c>
      <c r="C38" s="48">
        <f>ROUNDDOWN(B38*C$33,2)</f>
        <v>280.87</v>
      </c>
      <c r="D38" s="48">
        <f>ROUNDDOWN(B$38*D$33,2)</f>
        <v>294.91000000000003</v>
      </c>
    </row>
    <row r="39" spans="1:9" x14ac:dyDescent="0.25">
      <c r="A39" s="46" t="s">
        <v>499</v>
      </c>
      <c r="B39" s="67">
        <f>'12X36 NA'!B39</f>
        <v>2.7799999999999998E-2</v>
      </c>
      <c r="C39" s="68">
        <f>ROUNDDOWN(C33*B39,2)</f>
        <v>93.73</v>
      </c>
      <c r="D39" s="68">
        <f>ROUNDDOWN(D33*B$39,2)</f>
        <v>98.42</v>
      </c>
    </row>
    <row r="40" spans="1:9" x14ac:dyDescent="0.25">
      <c r="A40" s="69" t="s">
        <v>66</v>
      </c>
      <c r="B40" s="124">
        <f>SUM(B38:B39)</f>
        <v>0.1111</v>
      </c>
      <c r="C40" s="70">
        <f>SUM(C38:C39)</f>
        <v>374.6</v>
      </c>
      <c r="D40" s="70">
        <f>SUM(D38:D39)</f>
        <v>393.33000000000004</v>
      </c>
    </row>
    <row r="41" spans="1:9" x14ac:dyDescent="0.25">
      <c r="A41" s="89" t="s">
        <v>460</v>
      </c>
      <c r="B41" s="112">
        <f>B40*B53</f>
        <v>3.9218300000000005E-2</v>
      </c>
      <c r="C41" s="90">
        <f>C33*B41</f>
        <v>132.23818563670002</v>
      </c>
      <c r="D41" s="90">
        <f>D33*B$41</f>
        <v>138.84976352390001</v>
      </c>
    </row>
    <row r="42" spans="1:9" x14ac:dyDescent="0.25">
      <c r="A42" s="89" t="s">
        <v>1</v>
      </c>
      <c r="B42" s="112">
        <f>SUM(B40:B41)</f>
        <v>0.15031830000000002</v>
      </c>
      <c r="C42" s="90">
        <f>SUM(C40:C41)</f>
        <v>506.83818563670002</v>
      </c>
      <c r="D42" s="90">
        <f>SUM(D40:D41)</f>
        <v>532.17976352390008</v>
      </c>
      <c r="E42" s="111"/>
    </row>
    <row r="43" spans="1:9" s="36" customFormat="1" ht="3" customHeight="1" x14ac:dyDescent="0.25">
      <c r="A43" s="575"/>
      <c r="B43" s="576"/>
      <c r="C43" s="576"/>
      <c r="D43" s="576"/>
      <c r="E43" s="88"/>
      <c r="F43" s="88"/>
      <c r="G43" s="88"/>
      <c r="H43" s="88"/>
      <c r="I43" s="88"/>
    </row>
    <row r="44" spans="1:9" ht="16.5" customHeight="1" x14ac:dyDescent="0.25">
      <c r="A44" s="581" t="s">
        <v>59</v>
      </c>
      <c r="B44" s="582"/>
      <c r="C44" s="582"/>
      <c r="D44" s="582"/>
    </row>
    <row r="45" spans="1:9" x14ac:dyDescent="0.25">
      <c r="A45" s="46" t="s">
        <v>13</v>
      </c>
      <c r="B45" s="47">
        <f>'12X36 NA'!B45</f>
        <v>0.2</v>
      </c>
      <c r="C45" s="48">
        <f t="shared" ref="C45:C52" si="0">ROUNDDOWN(B45*(C$33),2)</f>
        <v>674.36</v>
      </c>
      <c r="D45" s="48">
        <f>ROUNDDOWN(B$45*(D$33),2)</f>
        <v>708.08</v>
      </c>
    </row>
    <row r="46" spans="1:9" x14ac:dyDescent="0.25">
      <c r="A46" s="46" t="s">
        <v>60</v>
      </c>
      <c r="B46" s="47">
        <f>'12X36 NA'!B46</f>
        <v>2.5000000000000001E-2</v>
      </c>
      <c r="C46" s="48">
        <f t="shared" si="0"/>
        <v>84.29</v>
      </c>
      <c r="D46" s="48">
        <f>ROUNDDOWN(B$46*(D$33),2)</f>
        <v>88.51</v>
      </c>
    </row>
    <row r="47" spans="1:9" x14ac:dyDescent="0.25">
      <c r="A47" s="46" t="s">
        <v>72</v>
      </c>
      <c r="B47" s="47">
        <f>'12X36 NA'!B47</f>
        <v>1.4999999999999999E-2</v>
      </c>
      <c r="C47" s="48">
        <f t="shared" si="0"/>
        <v>50.57</v>
      </c>
      <c r="D47" s="48">
        <f>ROUNDDOWN(B$47*(D$33),2)</f>
        <v>53.1</v>
      </c>
    </row>
    <row r="48" spans="1:9" x14ac:dyDescent="0.25">
      <c r="A48" s="46" t="s">
        <v>61</v>
      </c>
      <c r="B48" s="47">
        <f>'12X36 NA'!B48</f>
        <v>1.4999999999999999E-2</v>
      </c>
      <c r="C48" s="48">
        <f t="shared" si="0"/>
        <v>50.57</v>
      </c>
      <c r="D48" s="48">
        <f>ROUNDDOWN(B$48*(D$33),2)</f>
        <v>53.1</v>
      </c>
    </row>
    <row r="49" spans="1:9" x14ac:dyDescent="0.25">
      <c r="A49" s="46" t="s">
        <v>62</v>
      </c>
      <c r="B49" s="47">
        <f>'12X36 NA'!B49</f>
        <v>0.01</v>
      </c>
      <c r="C49" s="48">
        <f t="shared" si="0"/>
        <v>33.71</v>
      </c>
      <c r="D49" s="48">
        <f>ROUNDDOWN(B$49*(D$33),2)</f>
        <v>35.4</v>
      </c>
    </row>
    <row r="50" spans="1:9" x14ac:dyDescent="0.25">
      <c r="A50" s="46" t="s">
        <v>63</v>
      </c>
      <c r="B50" s="47">
        <f>'12X36 NA'!B50</f>
        <v>6.0000000000000001E-3</v>
      </c>
      <c r="C50" s="48">
        <f t="shared" si="0"/>
        <v>20.23</v>
      </c>
      <c r="D50" s="48">
        <f>ROUNDDOWN(B$50*(D$33),2)</f>
        <v>21.24</v>
      </c>
    </row>
    <row r="51" spans="1:9" x14ac:dyDescent="0.25">
      <c r="A51" s="46" t="s">
        <v>64</v>
      </c>
      <c r="B51" s="47">
        <f>'12X36 NA'!B51</f>
        <v>2E-3</v>
      </c>
      <c r="C51" s="48">
        <f t="shared" si="0"/>
        <v>6.74</v>
      </c>
      <c r="D51" s="48">
        <f>ROUNDDOWN(B$51*(D$33),2)</f>
        <v>7.08</v>
      </c>
    </row>
    <row r="52" spans="1:9" x14ac:dyDescent="0.25">
      <c r="A52" s="46" t="s">
        <v>65</v>
      </c>
      <c r="B52" s="47">
        <f>'12X36 NA'!B52</f>
        <v>0.08</v>
      </c>
      <c r="C52" s="48">
        <f t="shared" si="0"/>
        <v>269.74</v>
      </c>
      <c r="D52" s="48">
        <f>ROUNDDOWN(B$52*(D$33),2)</f>
        <v>283.23</v>
      </c>
    </row>
    <row r="53" spans="1:9" x14ac:dyDescent="0.25">
      <c r="A53" s="89" t="s">
        <v>1</v>
      </c>
      <c r="B53" s="112">
        <f>SUM(B45:B52)</f>
        <v>0.35300000000000004</v>
      </c>
      <c r="C53" s="90">
        <f>SUM(C45:C52)</f>
        <v>1190.21</v>
      </c>
      <c r="D53" s="90">
        <f>SUM(D45:D52)</f>
        <v>1249.7400000000002</v>
      </c>
    </row>
    <row r="54" spans="1:9" s="36" customFormat="1" ht="3" customHeight="1" x14ac:dyDescent="0.25">
      <c r="A54" s="570"/>
      <c r="B54" s="571"/>
      <c r="C54" s="571"/>
      <c r="D54" s="571"/>
      <c r="E54" s="91"/>
      <c r="F54" s="91"/>
      <c r="G54" s="91"/>
      <c r="H54" s="91"/>
      <c r="I54" s="91"/>
    </row>
    <row r="55" spans="1:9" x14ac:dyDescent="0.25">
      <c r="A55" s="63" t="s">
        <v>32</v>
      </c>
      <c r="B55" s="54"/>
      <c r="C55" s="55" t="s">
        <v>6</v>
      </c>
      <c r="D55" s="55" t="s">
        <v>6</v>
      </c>
      <c r="E55" s="37">
        <f>5.5*2*21</f>
        <v>231</v>
      </c>
      <c r="F55" s="86">
        <f>C26*6%</f>
        <v>155.62379999999999</v>
      </c>
    </row>
    <row r="56" spans="1:9" x14ac:dyDescent="0.25">
      <c r="A56" s="46" t="s">
        <v>160</v>
      </c>
      <c r="B56" s="56">
        <v>5.5</v>
      </c>
      <c r="C56" s="48">
        <f>E55-F55</f>
        <v>75.376200000000011</v>
      </c>
      <c r="D56" s="48">
        <f>E56-F56</f>
        <v>67.595400000000012</v>
      </c>
      <c r="E56" s="86">
        <f>5.5*2*21</f>
        <v>231</v>
      </c>
      <c r="F56" s="86">
        <f>D26*6%</f>
        <v>163.40459999999999</v>
      </c>
    </row>
    <row r="57" spans="1:9" x14ac:dyDescent="0.25">
      <c r="A57" s="46" t="s">
        <v>564</v>
      </c>
      <c r="B57" s="56">
        <f>'12x36 DA'!B57</f>
        <v>0</v>
      </c>
      <c r="C57" s="48">
        <f>45.12*21</f>
        <v>947.52</v>
      </c>
      <c r="D57" s="48">
        <f>47.37*21</f>
        <v>994.77</v>
      </c>
    </row>
    <row r="58" spans="1:9" x14ac:dyDescent="0.25">
      <c r="A58" s="46" t="s">
        <v>166</v>
      </c>
      <c r="B58" s="56">
        <f>B57*2%</f>
        <v>0</v>
      </c>
      <c r="C58" s="48">
        <f>(45.12*2%)*-21</f>
        <v>-18.950399999999998</v>
      </c>
      <c r="D58" s="48">
        <f>(47.37*2%)*-21</f>
        <v>-19.895400000000002</v>
      </c>
    </row>
    <row r="59" spans="1:9" x14ac:dyDescent="0.25">
      <c r="A59" s="46" t="s">
        <v>209</v>
      </c>
      <c r="B59" s="56"/>
      <c r="C59" s="48">
        <v>151.9</v>
      </c>
      <c r="D59" s="48">
        <v>164.05</v>
      </c>
    </row>
    <row r="60" spans="1:9" x14ac:dyDescent="0.25">
      <c r="A60" s="46" t="s">
        <v>210</v>
      </c>
      <c r="B60" s="56"/>
      <c r="C60" s="48">
        <v>10.33</v>
      </c>
      <c r="D60" s="48">
        <v>10.83</v>
      </c>
    </row>
    <row r="61" spans="1:9" x14ac:dyDescent="0.25">
      <c r="A61" s="46" t="s">
        <v>213</v>
      </c>
      <c r="B61" s="56"/>
      <c r="C61" s="48">
        <v>16.07</v>
      </c>
      <c r="D61" s="48">
        <v>18.170000000000002</v>
      </c>
    </row>
    <row r="62" spans="1:9" x14ac:dyDescent="0.25">
      <c r="A62" s="46" t="s">
        <v>215</v>
      </c>
      <c r="B62" s="56"/>
      <c r="C62" s="48">
        <v>8.17</v>
      </c>
      <c r="D62" s="48">
        <v>8.17</v>
      </c>
    </row>
    <row r="63" spans="1:9" x14ac:dyDescent="0.25">
      <c r="A63" s="92" t="s">
        <v>1</v>
      </c>
      <c r="B63" s="93"/>
      <c r="C63" s="94">
        <f>SUM(C56:C62)</f>
        <v>1190.4158</v>
      </c>
      <c r="D63" s="94">
        <f>SUM(D56:D62)</f>
        <v>1243.6899999999998</v>
      </c>
    </row>
    <row r="64" spans="1:9" s="95" customFormat="1" ht="3" customHeight="1" x14ac:dyDescent="0.25">
      <c r="A64" s="570"/>
      <c r="B64" s="571"/>
      <c r="C64" s="571"/>
      <c r="D64" s="571"/>
      <c r="E64" s="87"/>
      <c r="F64" s="87"/>
      <c r="G64" s="87"/>
      <c r="H64" s="87"/>
      <c r="I64" s="87"/>
    </row>
    <row r="65" spans="1:5" x14ac:dyDescent="0.25">
      <c r="A65" s="587" t="s">
        <v>33</v>
      </c>
      <c r="B65" s="588"/>
      <c r="C65" s="588"/>
      <c r="D65" s="589"/>
    </row>
    <row r="66" spans="1:5" x14ac:dyDescent="0.25">
      <c r="A66" s="139" t="s">
        <v>73</v>
      </c>
      <c r="B66" s="139"/>
      <c r="C66" s="55" t="s">
        <v>29</v>
      </c>
      <c r="D66" s="55" t="s">
        <v>29</v>
      </c>
    </row>
    <row r="67" spans="1:5" x14ac:dyDescent="0.25">
      <c r="A67" s="71" t="s">
        <v>34</v>
      </c>
      <c r="B67" s="72">
        <f>B40</f>
        <v>0.1111</v>
      </c>
      <c r="C67" s="48">
        <f>C42</f>
        <v>506.83818563670002</v>
      </c>
      <c r="D67" s="48">
        <f>D42</f>
        <v>532.17976352390008</v>
      </c>
    </row>
    <row r="68" spans="1:5" s="39" customFormat="1" x14ac:dyDescent="0.25">
      <c r="A68" s="71" t="s">
        <v>115</v>
      </c>
      <c r="B68" s="72">
        <f>B53</f>
        <v>0.35300000000000004</v>
      </c>
      <c r="C68" s="48">
        <f>C53</f>
        <v>1190.21</v>
      </c>
      <c r="D68" s="48">
        <f>D53</f>
        <v>1249.7400000000002</v>
      </c>
    </row>
    <row r="69" spans="1:5" x14ac:dyDescent="0.25">
      <c r="A69" s="71" t="s">
        <v>35</v>
      </c>
      <c r="B69" s="72"/>
      <c r="C69" s="48">
        <f>C63</f>
        <v>1190.4158</v>
      </c>
      <c r="D69" s="48">
        <f>D63</f>
        <v>1243.6899999999998</v>
      </c>
    </row>
    <row r="70" spans="1:5" x14ac:dyDescent="0.25">
      <c r="A70" s="138" t="s">
        <v>1</v>
      </c>
      <c r="B70" s="73">
        <f>SUM(B67:B69)</f>
        <v>0.46410000000000007</v>
      </c>
      <c r="C70" s="60">
        <f>SUM(C67:C69)</f>
        <v>2887.4639856367003</v>
      </c>
      <c r="D70" s="60">
        <f>SUM(D67:D69)</f>
        <v>3025.6097635239003</v>
      </c>
      <c r="E70" s="111"/>
    </row>
    <row r="71" spans="1:5" s="38" customFormat="1" ht="3" customHeight="1" x14ac:dyDescent="0.25">
      <c r="A71" s="443"/>
      <c r="B71" s="444"/>
      <c r="C71" s="444"/>
      <c r="D71" s="445"/>
    </row>
    <row r="72" spans="1:5" s="39" customFormat="1" x14ac:dyDescent="0.25">
      <c r="A72" s="50" t="s">
        <v>36</v>
      </c>
      <c r="B72" s="51"/>
      <c r="C72" s="52"/>
      <c r="D72" s="52"/>
    </row>
    <row r="73" spans="1:5" x14ac:dyDescent="0.25">
      <c r="A73" s="53" t="s">
        <v>37</v>
      </c>
      <c r="B73" s="66"/>
      <c r="C73" s="55" t="s">
        <v>29</v>
      </c>
      <c r="D73" s="55" t="s">
        <v>29</v>
      </c>
    </row>
    <row r="74" spans="1:5" x14ac:dyDescent="0.25">
      <c r="A74" s="46" t="s">
        <v>14</v>
      </c>
      <c r="B74" s="47">
        <f>'12X36 NA'!B74</f>
        <v>8.3333333333333328E-4</v>
      </c>
      <c r="C74" s="48">
        <f t="shared" ref="C74:C79" si="1">ROUNDDOWN(B74*C$33,2)</f>
        <v>2.8</v>
      </c>
      <c r="D74" s="48">
        <f>ROUNDDOWN(B$74*D$33,2)</f>
        <v>2.95</v>
      </c>
      <c r="E74" s="115"/>
    </row>
    <row r="75" spans="1:5" x14ac:dyDescent="0.25">
      <c r="A75" s="77" t="s">
        <v>15</v>
      </c>
      <c r="B75" s="78">
        <f>'12X36 NA'!B75</f>
        <v>6.666666666666667E-5</v>
      </c>
      <c r="C75" s="48">
        <f t="shared" si="1"/>
        <v>0.22</v>
      </c>
      <c r="D75" s="48">
        <f>ROUNDDOWN(B$75*D$33,2)</f>
        <v>0.23</v>
      </c>
    </row>
    <row r="76" spans="1:5" s="1" customFormat="1" x14ac:dyDescent="0.25">
      <c r="A76" s="77" t="s">
        <v>121</v>
      </c>
      <c r="B76" s="47">
        <f>'12X36 NA'!B76</f>
        <v>1.6000000000000003E-3</v>
      </c>
      <c r="C76" s="48">
        <f t="shared" si="1"/>
        <v>5.39</v>
      </c>
      <c r="D76" s="48">
        <f>ROUNDDOWN(B$76*D$33,2)</f>
        <v>5.66</v>
      </c>
    </row>
    <row r="77" spans="1:5" s="38" customFormat="1" x14ac:dyDescent="0.25">
      <c r="A77" s="79" t="s">
        <v>122</v>
      </c>
      <c r="B77" s="80">
        <f>'12X36 NA'!B77</f>
        <v>3.8888888888888892E-4</v>
      </c>
      <c r="C77" s="81">
        <f t="shared" si="1"/>
        <v>1.31</v>
      </c>
      <c r="D77" s="81">
        <f>ROUNDDOWN(B$77*D$33,2)</f>
        <v>1.37</v>
      </c>
    </row>
    <row r="78" spans="1:5" x14ac:dyDescent="0.25">
      <c r="A78" s="77" t="s">
        <v>123</v>
      </c>
      <c r="B78" s="47">
        <f>'12X36 NA'!B78</f>
        <v>1.372777777777778E-4</v>
      </c>
      <c r="C78" s="48">
        <f t="shared" si="1"/>
        <v>0.46</v>
      </c>
      <c r="D78" s="48">
        <f>ROUNDDOWN(B$78*D$33,2)</f>
        <v>0.48</v>
      </c>
    </row>
    <row r="79" spans="1:5" x14ac:dyDescent="0.25">
      <c r="A79" s="77" t="s">
        <v>124</v>
      </c>
      <c r="B79" s="47">
        <f>'12X36 NA'!B79</f>
        <v>3.2750666666666657E-2</v>
      </c>
      <c r="C79" s="48">
        <f t="shared" si="1"/>
        <v>110.43</v>
      </c>
      <c r="D79" s="48">
        <f>ROUNDDOWN(B$79*D$33,2)</f>
        <v>115.95</v>
      </c>
    </row>
    <row r="80" spans="1:5" x14ac:dyDescent="0.25">
      <c r="A80" s="138" t="s">
        <v>16</v>
      </c>
      <c r="B80" s="73">
        <f>SUM(B74:B79)</f>
        <v>3.5776833333333327E-2</v>
      </c>
      <c r="C80" s="60">
        <f>SUM(C74:C79)</f>
        <v>120.61000000000001</v>
      </c>
      <c r="D80" s="60">
        <f>SUM(D74:D79)</f>
        <v>126.64</v>
      </c>
    </row>
    <row r="81" spans="1:9" ht="3" customHeight="1" x14ac:dyDescent="0.25">
      <c r="A81" s="560"/>
      <c r="B81" s="561"/>
      <c r="C81" s="561"/>
      <c r="D81" s="562"/>
    </row>
    <row r="82" spans="1:9" s="39" customFormat="1" x14ac:dyDescent="0.25">
      <c r="A82" s="50" t="s">
        <v>38</v>
      </c>
      <c r="B82" s="51"/>
      <c r="C82" s="52"/>
      <c r="D82" s="52"/>
    </row>
    <row r="83" spans="1:9" x14ac:dyDescent="0.25">
      <c r="A83" s="53" t="s">
        <v>155</v>
      </c>
      <c r="B83" s="66"/>
      <c r="C83" s="55" t="s">
        <v>29</v>
      </c>
      <c r="D83" s="55" t="s">
        <v>29</v>
      </c>
    </row>
    <row r="84" spans="1:9" x14ac:dyDescent="0.25">
      <c r="A84" s="46" t="s">
        <v>149</v>
      </c>
      <c r="B84" s="80">
        <f>'12X36 NA'!B84</f>
        <v>8.3299999999999999E-2</v>
      </c>
      <c r="C84" s="48">
        <f>ROUNDDOWN(B84*C$33,2)</f>
        <v>280.87</v>
      </c>
      <c r="D84" s="48">
        <f>ROUNDDOWN(B$84*D$33,2)</f>
        <v>294.91000000000003</v>
      </c>
    </row>
    <row r="85" spans="1:9" x14ac:dyDescent="0.25">
      <c r="A85" s="46" t="s">
        <v>150</v>
      </c>
      <c r="B85" s="47">
        <f>'12X36 NA'!B85</f>
        <v>2.0000000000000001E-4</v>
      </c>
      <c r="C85" s="48">
        <f>ROUNDDOWN(B85*C$33,2)</f>
        <v>0.67</v>
      </c>
      <c r="D85" s="48">
        <f>ROUNDDOWN(B$85*D$33,2)</f>
        <v>0.7</v>
      </c>
    </row>
    <row r="86" spans="1:9" x14ac:dyDescent="0.25">
      <c r="A86" s="46" t="s">
        <v>151</v>
      </c>
      <c r="B86" s="47">
        <f>'12X36 NA'!B86</f>
        <v>2.0000000000000001E-4</v>
      </c>
      <c r="C86" s="48">
        <f>ROUNDDOWN(B86*C$33,2)</f>
        <v>0.67</v>
      </c>
      <c r="D86" s="48">
        <f>ROUNDDOWN(B$86*D$33,2)</f>
        <v>0.7</v>
      </c>
    </row>
    <row r="87" spans="1:9" x14ac:dyDescent="0.25">
      <c r="A87" s="46" t="s">
        <v>152</v>
      </c>
      <c r="B87" s="47">
        <f>'12X36 NA'!B87</f>
        <v>4.1666666666666664E-4</v>
      </c>
      <c r="C87" s="48">
        <f>ROUNDDOWN(B87*C$33,2)</f>
        <v>1.4</v>
      </c>
      <c r="D87" s="48">
        <f>ROUNDDOWN(B$87*D$33,2)</f>
        <v>1.47</v>
      </c>
    </row>
    <row r="88" spans="1:9" x14ac:dyDescent="0.25">
      <c r="A88" s="46" t="s">
        <v>153</v>
      </c>
      <c r="B88" s="47">
        <f>'12X36 NA'!B88</f>
        <v>2.0063888888888887E-4</v>
      </c>
      <c r="C88" s="48">
        <f>ROUNDDOWN(B88*C$33,2)</f>
        <v>0.67</v>
      </c>
      <c r="D88" s="48">
        <f>ROUNDDOWN(B$88*D$33,2)</f>
        <v>0.71</v>
      </c>
    </row>
    <row r="89" spans="1:9" ht="15.75" customHeight="1" x14ac:dyDescent="0.25">
      <c r="A89" s="150" t="s">
        <v>154</v>
      </c>
      <c r="B89" s="152">
        <f>'12X36 NA'!B89</f>
        <v>0</v>
      </c>
      <c r="C89" s="151">
        <f t="shared" ref="C89:D89" si="2">B89*C$33</f>
        <v>0</v>
      </c>
      <c r="D89" s="151">
        <f t="shared" si="2"/>
        <v>0</v>
      </c>
    </row>
    <row r="90" spans="1:9" ht="15" customHeight="1" x14ac:dyDescent="0.25">
      <c r="A90" s="82" t="s">
        <v>66</v>
      </c>
      <c r="B90" s="67">
        <f>SUM(B84:B89)</f>
        <v>8.4317305555555555E-2</v>
      </c>
      <c r="C90" s="68">
        <f>SUM(C84:C89)</f>
        <v>284.28000000000003</v>
      </c>
      <c r="D90" s="68">
        <f>SUM(D84:D89)</f>
        <v>298.49</v>
      </c>
    </row>
    <row r="91" spans="1:9" ht="15" customHeight="1" x14ac:dyDescent="0.25">
      <c r="A91" s="138" t="s">
        <v>1</v>
      </c>
      <c r="B91" s="73">
        <f>SUM(B90:B90)</f>
        <v>8.4317305555555555E-2</v>
      </c>
      <c r="C91" s="60">
        <f>SUM(C90:C90)</f>
        <v>284.28000000000003</v>
      </c>
      <c r="D91" s="60">
        <f>SUM(D90:D90)</f>
        <v>298.49</v>
      </c>
      <c r="E91" s="111"/>
    </row>
    <row r="92" spans="1:9" x14ac:dyDescent="0.25">
      <c r="A92" s="53" t="s">
        <v>40</v>
      </c>
      <c r="B92" s="66"/>
      <c r="C92" s="55" t="s">
        <v>6</v>
      </c>
      <c r="D92" s="55" t="s">
        <v>6</v>
      </c>
    </row>
    <row r="93" spans="1:9" x14ac:dyDescent="0.25">
      <c r="A93" s="46" t="s">
        <v>41</v>
      </c>
      <c r="B93" s="47"/>
      <c r="C93" s="197">
        <v>0</v>
      </c>
      <c r="D93" s="197">
        <v>0</v>
      </c>
    </row>
    <row r="94" spans="1:9" ht="3" customHeight="1" x14ac:dyDescent="0.25">
      <c r="A94" s="560"/>
      <c r="B94" s="561"/>
      <c r="C94" s="561"/>
      <c r="D94" s="562"/>
    </row>
    <row r="95" spans="1:9" ht="15" customHeight="1" x14ac:dyDescent="0.25">
      <c r="A95" s="138" t="s">
        <v>45</v>
      </c>
      <c r="B95" s="73"/>
      <c r="C95" s="60">
        <f>SUM(C92:C93)</f>
        <v>0</v>
      </c>
      <c r="D95" s="60">
        <f>SUM(D92:D93)</f>
        <v>0</v>
      </c>
    </row>
    <row r="96" spans="1:9" s="36" customFormat="1" ht="3" customHeight="1" x14ac:dyDescent="0.25">
      <c r="A96" s="546"/>
      <c r="B96" s="547"/>
      <c r="C96" s="548"/>
      <c r="D96" s="96"/>
      <c r="E96" s="96"/>
      <c r="F96" s="96"/>
      <c r="G96" s="96"/>
      <c r="H96" s="96"/>
      <c r="I96" s="96"/>
    </row>
    <row r="97" spans="1:4" x14ac:dyDescent="0.25">
      <c r="A97" s="63" t="s">
        <v>42</v>
      </c>
      <c r="B97" s="64"/>
      <c r="C97" s="65"/>
      <c r="D97" s="65"/>
    </row>
    <row r="98" spans="1:4" x14ac:dyDescent="0.25">
      <c r="A98" s="139" t="s">
        <v>17</v>
      </c>
      <c r="B98" s="139"/>
      <c r="C98" s="55" t="s">
        <v>6</v>
      </c>
      <c r="D98" s="55" t="s">
        <v>6</v>
      </c>
    </row>
    <row r="99" spans="1:4" x14ac:dyDescent="0.25">
      <c r="A99" s="71" t="s">
        <v>43</v>
      </c>
      <c r="B99" s="72">
        <f>'12X36 NA'!B99</f>
        <v>8.4317305555555555E-2</v>
      </c>
      <c r="C99" s="48">
        <f>C91</f>
        <v>284.28000000000003</v>
      </c>
      <c r="D99" s="48">
        <f>D91</f>
        <v>298.49</v>
      </c>
    </row>
    <row r="100" spans="1:4" s="39" customFormat="1" x14ac:dyDescent="0.25">
      <c r="A100" s="71" t="s">
        <v>44</v>
      </c>
      <c r="B100" s="72"/>
      <c r="C100" s="197">
        <f>C93</f>
        <v>0</v>
      </c>
      <c r="D100" s="197">
        <f>D93</f>
        <v>0</v>
      </c>
    </row>
    <row r="101" spans="1:4" x14ac:dyDescent="0.25">
      <c r="A101" s="138" t="s">
        <v>1</v>
      </c>
      <c r="B101" s="73">
        <f>SUM(B99:B100)</f>
        <v>8.4317305555555555E-2</v>
      </c>
      <c r="C101" s="60">
        <f>SUM(C99:C100)</f>
        <v>284.28000000000003</v>
      </c>
      <c r="D101" s="60">
        <f>SUM(D99:D100)</f>
        <v>298.49</v>
      </c>
    </row>
    <row r="102" spans="1:4" s="38" customFormat="1" ht="3" customHeight="1" x14ac:dyDescent="0.25">
      <c r="A102" s="572"/>
      <c r="B102" s="573"/>
      <c r="C102" s="573"/>
      <c r="D102" s="574"/>
    </row>
    <row r="103" spans="1:4" s="39" customFormat="1" x14ac:dyDescent="0.25">
      <c r="A103" s="50" t="s">
        <v>46</v>
      </c>
      <c r="B103" s="51"/>
      <c r="C103" s="52"/>
      <c r="D103" s="52"/>
    </row>
    <row r="104" spans="1:4" x14ac:dyDescent="0.25">
      <c r="A104" s="53" t="s">
        <v>47</v>
      </c>
      <c r="B104" s="54"/>
      <c r="C104" s="55" t="s">
        <v>6</v>
      </c>
      <c r="D104" s="55" t="s">
        <v>6</v>
      </c>
    </row>
    <row r="105" spans="1:4" x14ac:dyDescent="0.25">
      <c r="A105" s="46" t="s">
        <v>11</v>
      </c>
      <c r="B105" s="56"/>
      <c r="C105" s="81">
        <f>'Uniformes -IV'!H11</f>
        <v>46.709999999999987</v>
      </c>
      <c r="D105" s="81">
        <f>C105</f>
        <v>46.709999999999987</v>
      </c>
    </row>
    <row r="106" spans="1:4" x14ac:dyDescent="0.25">
      <c r="A106" s="46" t="s">
        <v>190</v>
      </c>
      <c r="B106" s="56"/>
      <c r="C106" s="48">
        <f>'Equipamentos-IV'!I13</f>
        <v>8.4816666666666674</v>
      </c>
      <c r="D106" s="48">
        <f>C106</f>
        <v>8.4816666666666674</v>
      </c>
    </row>
    <row r="107" spans="1:4" x14ac:dyDescent="0.25">
      <c r="A107" s="46" t="s">
        <v>146</v>
      </c>
      <c r="B107" s="56"/>
      <c r="C107" s="48">
        <f>'12x36 DA'!C106</f>
        <v>16.15583333333333</v>
      </c>
      <c r="D107" s="48">
        <f>C107</f>
        <v>16.15583333333333</v>
      </c>
    </row>
    <row r="108" spans="1:4" x14ac:dyDescent="0.25">
      <c r="A108" s="46" t="s">
        <v>145</v>
      </c>
      <c r="B108" s="56"/>
      <c r="C108" s="48">
        <v>0</v>
      </c>
      <c r="D108" s="48">
        <v>0</v>
      </c>
    </row>
    <row r="109" spans="1:4" x14ac:dyDescent="0.25">
      <c r="A109" s="138" t="s">
        <v>12</v>
      </c>
      <c r="B109" s="73"/>
      <c r="C109" s="60">
        <f>SUM(C105:C108)</f>
        <v>71.347499999999982</v>
      </c>
      <c r="D109" s="60">
        <f>SUM(D105:D108)</f>
        <v>71.347499999999982</v>
      </c>
    </row>
    <row r="110" spans="1:4" ht="3" customHeight="1" x14ac:dyDescent="0.25">
      <c r="A110" s="437"/>
      <c r="B110" s="438"/>
      <c r="C110" s="439"/>
      <c r="D110" s="37"/>
    </row>
    <row r="111" spans="1:4" x14ac:dyDescent="0.25">
      <c r="A111" s="50" t="s">
        <v>48</v>
      </c>
      <c r="B111" s="51"/>
      <c r="C111" s="52"/>
      <c r="D111" s="52"/>
    </row>
    <row r="112" spans="1:4" x14ac:dyDescent="0.25">
      <c r="A112" s="53" t="s">
        <v>49</v>
      </c>
      <c r="B112" s="54"/>
      <c r="C112" s="83" t="s">
        <v>6</v>
      </c>
      <c r="D112" s="83" t="s">
        <v>6</v>
      </c>
    </row>
    <row r="113" spans="1:5" x14ac:dyDescent="0.25">
      <c r="A113" s="46" t="s">
        <v>18</v>
      </c>
      <c r="B113" s="47">
        <f>'12X36 NA'!B113</f>
        <v>5.0000000000000001E-3</v>
      </c>
      <c r="C113" s="48">
        <f>ROUNDDOWN(C129*B113,2)</f>
        <v>33.67</v>
      </c>
      <c r="D113" s="48">
        <f>ROUNDDOWN(D129*B$113,2)</f>
        <v>35.31</v>
      </c>
      <c r="E113" s="132"/>
    </row>
    <row r="114" spans="1:5" x14ac:dyDescent="0.25">
      <c r="A114" s="46" t="s">
        <v>19</v>
      </c>
      <c r="B114" s="47">
        <f>'12X36 NA'!B114</f>
        <v>2.5000000000000001E-3</v>
      </c>
      <c r="C114" s="48">
        <f>ROUNDDOWN((C129+C113)*B114,2)</f>
        <v>16.920000000000002</v>
      </c>
      <c r="D114" s="48">
        <f>ROUNDDOWN((D129+D113)*B$114,2)</f>
        <v>17.739999999999998</v>
      </c>
      <c r="E114" s="132"/>
    </row>
    <row r="115" spans="1:5" x14ac:dyDescent="0.25">
      <c r="A115" s="46" t="s">
        <v>20</v>
      </c>
      <c r="B115" s="47">
        <f>SUM(B116:B118)</f>
        <v>8.6499999999999994E-2</v>
      </c>
      <c r="C115" s="81">
        <f ca="1">SUM(C116:C119)</f>
        <v>642.56999999999994</v>
      </c>
      <c r="D115" s="81">
        <f ca="1">SUM(D116:D118)</f>
        <v>673.77868395710721</v>
      </c>
      <c r="E115" s="132"/>
    </row>
    <row r="116" spans="1:5" x14ac:dyDescent="0.25">
      <c r="A116" s="46" t="s">
        <v>108</v>
      </c>
      <c r="B116" s="113">
        <v>3.6499999999999998E-2</v>
      </c>
      <c r="C116" s="114">
        <f ca="1">ROUNDDOWN(C131*B116,2)</f>
        <v>271.14</v>
      </c>
      <c r="D116" s="114">
        <f ca="1">D131*B116</f>
        <v>284.31123658305677</v>
      </c>
    </row>
    <row r="117" spans="1:5" x14ac:dyDescent="0.25">
      <c r="A117" s="46" t="s">
        <v>21</v>
      </c>
      <c r="B117" s="113">
        <v>0</v>
      </c>
      <c r="C117" s="114"/>
      <c r="D117" s="114"/>
      <c r="E117" s="132"/>
    </row>
    <row r="118" spans="1:5" x14ac:dyDescent="0.25">
      <c r="A118" s="46" t="s">
        <v>22</v>
      </c>
      <c r="B118" s="113">
        <v>0.05</v>
      </c>
      <c r="C118" s="114">
        <f ca="1">ROUNDDOWN(C131*B118,2)</f>
        <v>371.43</v>
      </c>
      <c r="D118" s="114">
        <f ca="1">D131*B118</f>
        <v>389.46744737405038</v>
      </c>
      <c r="E118" s="132"/>
    </row>
    <row r="119" spans="1:5" x14ac:dyDescent="0.25">
      <c r="A119" s="46" t="s">
        <v>23</v>
      </c>
      <c r="B119" s="56"/>
      <c r="C119" s="48"/>
      <c r="D119" s="48"/>
    </row>
    <row r="120" spans="1:5" x14ac:dyDescent="0.25">
      <c r="A120" s="138" t="s">
        <v>24</v>
      </c>
      <c r="B120" s="73"/>
      <c r="C120" s="60">
        <f ca="1">SUM(C113:C115)</f>
        <v>693.16</v>
      </c>
      <c r="D120" s="60">
        <f ca="1">SUM(D113:D115)</f>
        <v>726.82868395710716</v>
      </c>
      <c r="E120" s="132"/>
    </row>
    <row r="121" spans="1:5" ht="3" customHeight="1" x14ac:dyDescent="0.25">
      <c r="A121" s="560"/>
      <c r="B121" s="561"/>
      <c r="C121" s="561"/>
      <c r="D121" s="562"/>
    </row>
    <row r="122" spans="1:5" x14ac:dyDescent="0.25">
      <c r="A122" s="556" t="s">
        <v>25</v>
      </c>
      <c r="B122" s="556"/>
      <c r="C122" s="556"/>
      <c r="D122" s="37"/>
    </row>
    <row r="123" spans="1:5" x14ac:dyDescent="0.25">
      <c r="A123" s="557" t="s">
        <v>26</v>
      </c>
      <c r="B123" s="557"/>
      <c r="C123" s="55" t="s">
        <v>6</v>
      </c>
      <c r="D123" s="55" t="s">
        <v>6</v>
      </c>
    </row>
    <row r="124" spans="1:5" x14ac:dyDescent="0.25">
      <c r="A124" s="558" t="s">
        <v>27</v>
      </c>
      <c r="B124" s="558"/>
      <c r="C124" s="62">
        <f>C33</f>
        <v>3371.8490000000002</v>
      </c>
      <c r="D124" s="62">
        <f>D33</f>
        <v>3540.433</v>
      </c>
    </row>
    <row r="125" spans="1:5" x14ac:dyDescent="0.25">
      <c r="A125" s="558" t="s">
        <v>50</v>
      </c>
      <c r="B125" s="558"/>
      <c r="C125" s="62">
        <f>C70</f>
        <v>2887.4639856367003</v>
      </c>
      <c r="D125" s="62">
        <f>D70</f>
        <v>3025.6097635239003</v>
      </c>
    </row>
    <row r="126" spans="1:5" x14ac:dyDescent="0.25">
      <c r="A126" s="558" t="s">
        <v>51</v>
      </c>
      <c r="B126" s="558"/>
      <c r="C126" s="62">
        <f>C80</f>
        <v>120.61000000000001</v>
      </c>
      <c r="D126" s="62">
        <f>D80</f>
        <v>126.64</v>
      </c>
    </row>
    <row r="127" spans="1:5" x14ac:dyDescent="0.25">
      <c r="A127" s="558" t="s">
        <v>52</v>
      </c>
      <c r="B127" s="558"/>
      <c r="C127" s="62">
        <f>C101</f>
        <v>284.28000000000003</v>
      </c>
      <c r="D127" s="62">
        <f>D101</f>
        <v>298.49</v>
      </c>
    </row>
    <row r="128" spans="1:5" x14ac:dyDescent="0.25">
      <c r="A128" s="558" t="s">
        <v>53</v>
      </c>
      <c r="B128" s="558"/>
      <c r="C128" s="62">
        <f>C109</f>
        <v>71.347499999999982</v>
      </c>
      <c r="D128" s="62">
        <f>D109</f>
        <v>71.347499999999982</v>
      </c>
    </row>
    <row r="129" spans="1:5" x14ac:dyDescent="0.25">
      <c r="A129" s="559" t="s">
        <v>55</v>
      </c>
      <c r="B129" s="559"/>
      <c r="C129" s="62">
        <f>SUM(C124:C128)</f>
        <v>6735.5504856366997</v>
      </c>
      <c r="D129" s="62">
        <f>SUM(D124:D128)</f>
        <v>7062.5202635239002</v>
      </c>
    </row>
    <row r="130" spans="1:5" x14ac:dyDescent="0.25">
      <c r="A130" s="558" t="s">
        <v>54</v>
      </c>
      <c r="B130" s="558"/>
      <c r="C130" s="62">
        <f ca="1">C120</f>
        <v>693.16</v>
      </c>
      <c r="D130" s="62">
        <f ca="1">D120</f>
        <v>726.82868395710716</v>
      </c>
    </row>
    <row r="131" spans="1:5" ht="15.75" customHeight="1" x14ac:dyDescent="0.25">
      <c r="A131" s="555" t="s">
        <v>28</v>
      </c>
      <c r="B131" s="555"/>
      <c r="C131" s="60">
        <f ca="1">SUM(C129:C130)</f>
        <v>7428.7104856366996</v>
      </c>
      <c r="D131" s="60">
        <f ca="1">SUM(D129:D130)</f>
        <v>7789.3489474810076</v>
      </c>
    </row>
    <row r="132" spans="1:5" x14ac:dyDescent="0.25">
      <c r="A132" s="560"/>
      <c r="B132" s="561"/>
      <c r="C132" s="562"/>
      <c r="D132" s="37"/>
    </row>
    <row r="133" spans="1:5" ht="15.75" customHeight="1" x14ac:dyDescent="0.25">
      <c r="A133" s="555" t="s">
        <v>70</v>
      </c>
      <c r="B133" s="555"/>
      <c r="C133" s="60">
        <f ca="1">C131</f>
        <v>7428.7104856366996</v>
      </c>
      <c r="D133" s="60">
        <f ca="1">D131</f>
        <v>7789.3489474810076</v>
      </c>
      <c r="E133" s="86">
        <f ca="1">D133/C133</f>
        <v>1.0485465764942108</v>
      </c>
    </row>
    <row r="134" spans="1:5" x14ac:dyDescent="0.25">
      <c r="B134" s="37"/>
      <c r="C134" s="37"/>
      <c r="D134" s="37"/>
    </row>
    <row r="135" spans="1:5" x14ac:dyDescent="0.25">
      <c r="B135" s="37"/>
      <c r="C135" s="37"/>
      <c r="D135" s="37"/>
    </row>
    <row r="136" spans="1:5" x14ac:dyDescent="0.25">
      <c r="B136" s="37"/>
      <c r="C136" s="37"/>
      <c r="D136" s="37"/>
    </row>
    <row r="137" spans="1:5" x14ac:dyDescent="0.25">
      <c r="B137" s="37"/>
      <c r="C137" s="37"/>
      <c r="D137" s="37"/>
    </row>
    <row r="138" spans="1:5" x14ac:dyDescent="0.25">
      <c r="B138" s="37"/>
      <c r="C138" s="37"/>
      <c r="D138" s="37"/>
    </row>
    <row r="139" spans="1:5" x14ac:dyDescent="0.25">
      <c r="B139" s="37"/>
      <c r="C139" s="37"/>
      <c r="D139" s="37"/>
    </row>
    <row r="140" spans="1:5" x14ac:dyDescent="0.25">
      <c r="B140" s="37"/>
      <c r="C140" s="37"/>
      <c r="D140" s="37"/>
    </row>
    <row r="141" spans="1:5" x14ac:dyDescent="0.25">
      <c r="B141" s="37"/>
      <c r="C141" s="37"/>
      <c r="D141" s="37"/>
    </row>
    <row r="142" spans="1:5" x14ac:dyDescent="0.25">
      <c r="B142" s="37"/>
      <c r="C142" s="37"/>
      <c r="D142" s="37"/>
    </row>
    <row r="143" spans="1:5" x14ac:dyDescent="0.25">
      <c r="A143" s="40"/>
      <c r="B143" s="37"/>
      <c r="C143" s="37"/>
      <c r="D143" s="37"/>
    </row>
    <row r="144" spans="1:5" x14ac:dyDescent="0.25">
      <c r="B144" s="37"/>
      <c r="C144" s="37"/>
      <c r="D144" s="37"/>
    </row>
    <row r="145" s="37" customFormat="1" x14ac:dyDescent="0.25"/>
    <row r="146" s="37" customFormat="1" x14ac:dyDescent="0.25"/>
    <row r="147" s="37" customFormat="1" x14ac:dyDescent="0.25"/>
    <row r="148" s="37" customFormat="1" x14ac:dyDescent="0.25"/>
    <row r="149" s="37" customFormat="1" x14ac:dyDescent="0.25"/>
    <row r="150" s="37" customFormat="1" x14ac:dyDescent="0.25"/>
    <row r="151" s="37" customFormat="1" x14ac:dyDescent="0.25"/>
    <row r="152" s="37" customFormat="1" x14ac:dyDescent="0.25"/>
    <row r="153" s="37" customFormat="1" x14ac:dyDescent="0.25"/>
    <row r="154" s="37" customFormat="1" x14ac:dyDescent="0.25"/>
    <row r="155" s="37" customFormat="1" x14ac:dyDescent="0.25"/>
    <row r="156" s="37" customFormat="1" x14ac:dyDescent="0.25"/>
    <row r="157" s="37" customFormat="1" x14ac:dyDescent="0.25"/>
    <row r="158" s="37" customFormat="1" x14ac:dyDescent="0.25"/>
    <row r="159" s="37" customFormat="1" x14ac:dyDescent="0.25"/>
    <row r="160" s="37" customFormat="1" x14ac:dyDescent="0.25"/>
    <row r="161" s="37" customFormat="1" x14ac:dyDescent="0.25"/>
    <row r="162" s="37" customFormat="1" x14ac:dyDescent="0.25"/>
    <row r="163" s="37" customFormat="1" x14ac:dyDescent="0.25"/>
    <row r="164" s="37" customFormat="1" x14ac:dyDescent="0.25"/>
    <row r="165" s="37" customFormat="1" x14ac:dyDescent="0.25"/>
    <row r="166" s="37" customFormat="1" x14ac:dyDescent="0.25"/>
    <row r="167" s="37" customFormat="1" x14ac:dyDescent="0.25"/>
    <row r="168" s="37" customFormat="1" x14ac:dyDescent="0.25"/>
    <row r="169" s="37" customFormat="1" x14ac:dyDescent="0.25"/>
    <row r="170" s="37" customFormat="1" x14ac:dyDescent="0.25"/>
    <row r="171" s="37" customFormat="1" x14ac:dyDescent="0.25"/>
    <row r="172" s="37" customFormat="1" x14ac:dyDescent="0.25"/>
    <row r="173" s="37" customFormat="1" x14ac:dyDescent="0.25"/>
    <row r="174" s="37" customFormat="1" x14ac:dyDescent="0.25"/>
    <row r="175" s="37" customFormat="1" x14ac:dyDescent="0.25"/>
    <row r="176" s="37" customFormat="1" x14ac:dyDescent="0.25"/>
    <row r="177" s="37" customFormat="1" x14ac:dyDescent="0.25"/>
    <row r="178" s="37" customFormat="1" x14ac:dyDescent="0.25"/>
    <row r="179" s="37" customFormat="1" x14ac:dyDescent="0.25"/>
    <row r="180" s="37" customFormat="1" x14ac:dyDescent="0.25"/>
    <row r="181" s="37" customFormat="1" x14ac:dyDescent="0.25"/>
    <row r="182" s="37" customFormat="1" x14ac:dyDescent="0.25"/>
    <row r="183" s="37" customFormat="1" x14ac:dyDescent="0.25"/>
    <row r="184" s="37" customFormat="1" x14ac:dyDescent="0.25"/>
    <row r="185" s="37" customFormat="1" x14ac:dyDescent="0.25"/>
    <row r="186" s="37" customFormat="1" x14ac:dyDescent="0.25"/>
    <row r="187" s="37" customFormat="1" x14ac:dyDescent="0.25"/>
    <row r="188" s="37" customFormat="1" x14ac:dyDescent="0.25"/>
    <row r="189" s="37" customFormat="1" x14ac:dyDescent="0.25"/>
    <row r="190" s="37" customFormat="1" x14ac:dyDescent="0.25"/>
    <row r="191" s="37" customFormat="1" x14ac:dyDescent="0.25"/>
    <row r="192" s="37" customFormat="1" x14ac:dyDescent="0.25"/>
    <row r="193" s="37" customFormat="1" x14ac:dyDescent="0.25"/>
    <row r="194" s="37" customFormat="1" x14ac:dyDescent="0.25"/>
    <row r="195" s="37" customFormat="1" x14ac:dyDescent="0.25"/>
    <row r="196" s="37" customFormat="1" x14ac:dyDescent="0.25"/>
    <row r="197" s="37" customFormat="1" x14ac:dyDescent="0.25"/>
    <row r="198" s="37" customFormat="1" x14ac:dyDescent="0.25"/>
    <row r="199" s="37" customFormat="1" x14ac:dyDescent="0.25"/>
    <row r="200" s="37" customFormat="1" x14ac:dyDescent="0.25"/>
    <row r="201" s="37" customFormat="1" x14ac:dyDescent="0.25"/>
    <row r="202" s="37" customFormat="1" x14ac:dyDescent="0.25"/>
    <row r="203" s="37" customFormat="1" x14ac:dyDescent="0.25"/>
    <row r="204" s="37" customFormat="1" x14ac:dyDescent="0.25"/>
    <row r="205" s="37" customFormat="1" x14ac:dyDescent="0.25"/>
    <row r="206" s="37" customFormat="1" x14ac:dyDescent="0.25"/>
    <row r="207" s="37" customFormat="1" x14ac:dyDescent="0.25"/>
    <row r="208" s="37" customFormat="1" x14ac:dyDescent="0.25"/>
    <row r="209" s="37" customFormat="1" x14ac:dyDescent="0.25"/>
    <row r="210" s="37" customFormat="1" x14ac:dyDescent="0.25"/>
    <row r="211" s="37" customFormat="1" x14ac:dyDescent="0.25"/>
    <row r="212" s="37" customFormat="1" x14ac:dyDescent="0.25"/>
    <row r="213" s="37" customFormat="1" x14ac:dyDescent="0.25"/>
    <row r="214" s="37" customFormat="1" x14ac:dyDescent="0.25"/>
    <row r="215" s="37" customFormat="1" x14ac:dyDescent="0.25"/>
    <row r="216" s="37" customFormat="1" x14ac:dyDescent="0.25"/>
    <row r="217" s="37" customFormat="1" x14ac:dyDescent="0.25"/>
    <row r="218" s="37" customFormat="1" x14ac:dyDescent="0.25"/>
    <row r="219" s="37" customFormat="1" x14ac:dyDescent="0.25"/>
    <row r="220" s="37" customFormat="1" x14ac:dyDescent="0.25"/>
    <row r="221" s="37" customFormat="1" x14ac:dyDescent="0.25"/>
    <row r="222" s="37" customFormat="1" x14ac:dyDescent="0.25"/>
    <row r="223" s="37" customFormat="1" x14ac:dyDescent="0.25"/>
    <row r="224" s="37" customFormat="1" x14ac:dyDescent="0.25"/>
    <row r="225" s="37" customFormat="1" x14ac:dyDescent="0.25"/>
  </sheetData>
  <mergeCells count="36">
    <mergeCell ref="A133:B133"/>
    <mergeCell ref="A122:C122"/>
    <mergeCell ref="A123:B123"/>
    <mergeCell ref="A124:B124"/>
    <mergeCell ref="A125:B125"/>
    <mergeCell ref="A126:B126"/>
    <mergeCell ref="A127:B127"/>
    <mergeCell ref="A128:B128"/>
    <mergeCell ref="A129:B129"/>
    <mergeCell ref="A130:B130"/>
    <mergeCell ref="A131:B131"/>
    <mergeCell ref="A132:C132"/>
    <mergeCell ref="B8:C8"/>
    <mergeCell ref="B9:C9"/>
    <mergeCell ref="B10:C10"/>
    <mergeCell ref="A14:B14"/>
    <mergeCell ref="A15:C15"/>
    <mergeCell ref="A1:C1"/>
    <mergeCell ref="A2:C2"/>
    <mergeCell ref="A5:C5"/>
    <mergeCell ref="A6:C6"/>
    <mergeCell ref="B7:C7"/>
    <mergeCell ref="A94:D94"/>
    <mergeCell ref="A102:D102"/>
    <mergeCell ref="A121:D121"/>
    <mergeCell ref="A16:D16"/>
    <mergeCell ref="A17:D17"/>
    <mergeCell ref="A44:D44"/>
    <mergeCell ref="A65:D65"/>
    <mergeCell ref="A43:D43"/>
    <mergeCell ref="A54:D54"/>
    <mergeCell ref="A64:D64"/>
    <mergeCell ref="A81:D81"/>
    <mergeCell ref="A96:C96"/>
    <mergeCell ref="A23:C23"/>
    <mergeCell ref="A34:D34"/>
  </mergeCells>
  <pageMargins left="0.511811024" right="0.511811024" top="0.78740157499999996" bottom="0.78740157499999996" header="0.31496062000000002" footer="0.31496062000000002"/>
  <pageSetup paperSize="9" scale="70" orientation="portrait" r:id="rId1"/>
  <rowBreaks count="1" manualBreakCount="1">
    <brk id="64" max="3" man="1"/>
  </rowBreaks>
  <colBreaks count="1" manualBreakCount="1">
    <brk id="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18</vt:i4>
      </vt:variant>
      <vt:variant>
        <vt:lpstr>Intervalos Nomeados</vt:lpstr>
      </vt:variant>
      <vt:variant>
        <vt:i4>8</vt:i4>
      </vt:variant>
    </vt:vector>
  </HeadingPairs>
  <TitlesOfParts>
    <vt:vector size="26" baseType="lpstr">
      <vt:lpstr>Proposta Cadastro</vt:lpstr>
      <vt:lpstr>Conta vinculada CJM</vt:lpstr>
      <vt:lpstr>Proposta</vt:lpstr>
      <vt:lpstr>Diferença</vt:lpstr>
      <vt:lpstr>Anexo VIII</vt:lpstr>
      <vt:lpstr>44hs D</vt:lpstr>
      <vt:lpstr>12x36 DA</vt:lpstr>
      <vt:lpstr>12X36 NA</vt:lpstr>
      <vt:lpstr>44HS DA</vt:lpstr>
      <vt:lpstr>44HS DD</vt:lpstr>
      <vt:lpstr>3.Resumo</vt:lpstr>
      <vt:lpstr>4.Quadro</vt:lpstr>
      <vt:lpstr>Uniformes -IV</vt:lpstr>
      <vt:lpstr>Equipamentos-IV</vt:lpstr>
      <vt:lpstr>Anexo VI</vt:lpstr>
      <vt:lpstr>Memória de Cálculo</vt:lpstr>
      <vt:lpstr>ES Metodologia</vt:lpstr>
      <vt:lpstr>FATURA</vt:lpstr>
      <vt:lpstr>'12x36 DA'!Area_de_impressao</vt:lpstr>
      <vt:lpstr>'12X36 NA'!Area_de_impressao</vt:lpstr>
      <vt:lpstr>'44HS DA'!Area_de_impressao</vt:lpstr>
      <vt:lpstr>'44HS DD'!Area_de_impressao</vt:lpstr>
      <vt:lpstr>'Conta vinculada CJM'!Area_de_impressao</vt:lpstr>
      <vt:lpstr>'Memória de Cálculo'!Area_de_impressao</vt:lpstr>
      <vt:lpstr>Proposta!Area_de_impressao</vt:lpstr>
      <vt:lpstr>'Proposta Cadastro'!Area_de_impressao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Comercial</dc:creator>
  <cp:lastModifiedBy>Luciene Cruz</cp:lastModifiedBy>
  <cp:lastPrinted>2020-09-08T22:08:12Z</cp:lastPrinted>
  <dcterms:created xsi:type="dcterms:W3CDTF">2017-06-20T16:28:45Z</dcterms:created>
  <dcterms:modified xsi:type="dcterms:W3CDTF">2024-08-07T09:56:15Z</dcterms:modified>
</cp:coreProperties>
</file>